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s.stadt-muenster.de\ds\0000\D18\18_01\3_DIGITALISIERUNG\Open-Data\Fachämter-Datensätze\40-Schule-und-Weiterbildung\Schulstatistik\veröffentlicht\"/>
    </mc:Choice>
  </mc:AlternateContent>
  <bookViews>
    <workbookView xWindow="240" yWindow="108" windowWidth="11532" windowHeight="6756" tabRatio="608"/>
  </bookViews>
  <sheets>
    <sheet name="Grundtabelle" sheetId="1" r:id="rId1"/>
    <sheet name="Entw m_w" sheetId="4" state="hidden" r:id="rId2"/>
    <sheet name="Entw Ausl" sheetId="2" state="hidden" r:id="rId3"/>
    <sheet name="Herkunft 05_06" sheetId="5" state="hidden" r:id="rId4"/>
    <sheet name="GU_integrative LG" sheetId="6" state="hidden" r:id="rId5"/>
  </sheets>
  <definedNames>
    <definedName name="_xlnm._FilterDatabase" localSheetId="0" hidden="1">Grundtabelle!$A$4:$AA$7</definedName>
    <definedName name="_xlnm.Print_Area" localSheetId="0">Grundtabelle!$A$1:$AA$138</definedName>
    <definedName name="_xlnm.Print_Titles" localSheetId="0">Grundtabelle!$1:$7</definedName>
  </definedNames>
  <calcPr calcId="162913"/>
</workbook>
</file>

<file path=xl/calcChain.xml><?xml version="1.0" encoding="utf-8"?>
<calcChain xmlns="http://schemas.openxmlformats.org/spreadsheetml/2006/main">
  <c r="Y138" i="1" l="1"/>
  <c r="X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Z137" i="1"/>
  <c r="W137" i="1"/>
  <c r="V137" i="1"/>
  <c r="Z136" i="1"/>
  <c r="W136" i="1"/>
  <c r="V136" i="1"/>
  <c r="Z135" i="1"/>
  <c r="W135" i="1"/>
  <c r="V135" i="1"/>
  <c r="Z134" i="1"/>
  <c r="W134" i="1"/>
  <c r="V134" i="1"/>
  <c r="Z133" i="1"/>
  <c r="W133" i="1"/>
  <c r="V133" i="1"/>
  <c r="Z132" i="1"/>
  <c r="W132" i="1"/>
  <c r="V132" i="1"/>
  <c r="V138" i="1" l="1"/>
  <c r="Z138" i="1"/>
  <c r="W138" i="1"/>
  <c r="Y131" i="1"/>
  <c r="X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Z130" i="1"/>
  <c r="W130" i="1"/>
  <c r="V130" i="1"/>
  <c r="Z129" i="1"/>
  <c r="W129" i="1"/>
  <c r="V129" i="1"/>
  <c r="Z128" i="1"/>
  <c r="W128" i="1"/>
  <c r="V128" i="1"/>
  <c r="Z127" i="1"/>
  <c r="W127" i="1"/>
  <c r="V127" i="1"/>
  <c r="Z126" i="1"/>
  <c r="W126" i="1"/>
  <c r="V126" i="1"/>
  <c r="Z125" i="1"/>
  <c r="W125" i="1"/>
  <c r="V125" i="1"/>
  <c r="Z131" i="1" l="1"/>
  <c r="V131" i="1"/>
  <c r="W131" i="1"/>
  <c r="Y124" i="1"/>
  <c r="X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Z123" i="1"/>
  <c r="W123" i="1"/>
  <c r="V123" i="1"/>
  <c r="Z122" i="1"/>
  <c r="W122" i="1"/>
  <c r="V122" i="1"/>
  <c r="Z121" i="1"/>
  <c r="W121" i="1"/>
  <c r="V121" i="1"/>
  <c r="Z120" i="1"/>
  <c r="W120" i="1"/>
  <c r="V120" i="1"/>
  <c r="Z119" i="1"/>
  <c r="W119" i="1"/>
  <c r="V119" i="1"/>
  <c r="Z118" i="1"/>
  <c r="W118" i="1"/>
  <c r="V118" i="1"/>
  <c r="V124" i="1" l="1"/>
  <c r="Z124" i="1"/>
  <c r="W124" i="1"/>
  <c r="W111" i="1"/>
  <c r="V111" i="1"/>
  <c r="Y116" i="1" l="1"/>
  <c r="X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Z115" i="1"/>
  <c r="W115" i="1"/>
  <c r="V115" i="1"/>
  <c r="Z114" i="1"/>
  <c r="W114" i="1"/>
  <c r="V114" i="1"/>
  <c r="Z113" i="1"/>
  <c r="W113" i="1"/>
  <c r="V113" i="1"/>
  <c r="Z112" i="1"/>
  <c r="W112" i="1"/>
  <c r="V112" i="1"/>
  <c r="Z111" i="1"/>
  <c r="Z110" i="1"/>
  <c r="W110" i="1"/>
  <c r="V110" i="1"/>
  <c r="Z109" i="1"/>
  <c r="W109" i="1"/>
  <c r="V109" i="1"/>
  <c r="V116" i="1" l="1"/>
  <c r="Z116" i="1"/>
  <c r="W116" i="1"/>
  <c r="Y107" i="1"/>
  <c r="X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Z106" i="1"/>
  <c r="W106" i="1"/>
  <c r="V106" i="1"/>
  <c r="Z105" i="1"/>
  <c r="W105" i="1"/>
  <c r="V105" i="1"/>
  <c r="Z104" i="1"/>
  <c r="W104" i="1"/>
  <c r="V104" i="1"/>
  <c r="Z103" i="1"/>
  <c r="W103" i="1"/>
  <c r="V103" i="1"/>
  <c r="Z102" i="1"/>
  <c r="W102" i="1"/>
  <c r="V102" i="1"/>
  <c r="Z101" i="1"/>
  <c r="W101" i="1"/>
  <c r="V101" i="1"/>
  <c r="Z100" i="1"/>
  <c r="W100" i="1"/>
  <c r="V100" i="1"/>
  <c r="V107" i="1" l="1"/>
  <c r="Z107" i="1"/>
  <c r="W107" i="1"/>
  <c r="Z90" i="1" l="1"/>
  <c r="V8" i="1"/>
  <c r="V9" i="1"/>
  <c r="V10" i="1"/>
  <c r="V11" i="1"/>
  <c r="V12" i="1"/>
  <c r="V13" i="1"/>
  <c r="V14" i="1"/>
  <c r="V15" i="1"/>
  <c r="V16" i="1"/>
  <c r="V19" i="1"/>
  <c r="V20" i="1"/>
  <c r="V21" i="1"/>
  <c r="V22" i="1"/>
  <c r="V23" i="1"/>
  <c r="V24" i="1"/>
  <c r="V25" i="1"/>
  <c r="V26" i="1"/>
  <c r="V27" i="1"/>
  <c r="V59" i="1"/>
  <c r="V60" i="1"/>
  <c r="V61" i="1"/>
  <c r="V62" i="1"/>
  <c r="V63" i="1"/>
  <c r="V64" i="1"/>
  <c r="V65" i="1"/>
  <c r="V66" i="1"/>
  <c r="V67" i="1"/>
  <c r="V78" i="1"/>
  <c r="V79" i="1"/>
  <c r="V80" i="1"/>
  <c r="V81" i="1"/>
  <c r="V82" i="1"/>
  <c r="V83" i="1"/>
  <c r="V84" i="1"/>
  <c r="V85" i="1"/>
  <c r="V86" i="1"/>
  <c r="V89" i="1"/>
  <c r="V90" i="1"/>
  <c r="V91" i="1"/>
  <c r="V92" i="1"/>
  <c r="V93" i="1"/>
  <c r="V94" i="1"/>
  <c r="V95" i="1"/>
  <c r="V96" i="1"/>
  <c r="V97" i="1"/>
  <c r="Y98" i="1"/>
  <c r="X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Z97" i="1"/>
  <c r="W97" i="1"/>
  <c r="Z96" i="1"/>
  <c r="W96" i="1"/>
  <c r="Z95" i="1"/>
  <c r="W95" i="1"/>
  <c r="Z94" i="1"/>
  <c r="W94" i="1"/>
  <c r="Z93" i="1"/>
  <c r="W93" i="1"/>
  <c r="Z92" i="1"/>
  <c r="W92" i="1"/>
  <c r="Z91" i="1"/>
  <c r="W91" i="1"/>
  <c r="W90" i="1"/>
  <c r="Z89" i="1"/>
  <c r="W89" i="1"/>
  <c r="V68" i="1" l="1"/>
  <c r="V17" i="1"/>
  <c r="V87" i="1"/>
  <c r="V28" i="1"/>
  <c r="V98" i="1"/>
  <c r="Z98" i="1"/>
  <c r="W98" i="1"/>
  <c r="Y87" i="1" l="1"/>
  <c r="X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Z86" i="1"/>
  <c r="W86" i="1"/>
  <c r="Z85" i="1"/>
  <c r="W85" i="1"/>
  <c r="Z84" i="1"/>
  <c r="W84" i="1"/>
  <c r="Z83" i="1"/>
  <c r="W83" i="1"/>
  <c r="Z79" i="1"/>
  <c r="W79" i="1"/>
  <c r="Z82" i="1"/>
  <c r="W82" i="1"/>
  <c r="Z81" i="1"/>
  <c r="W81" i="1"/>
  <c r="Z80" i="1"/>
  <c r="W80" i="1"/>
  <c r="Z78" i="1"/>
  <c r="W78" i="1"/>
  <c r="Z87" i="1" l="1"/>
  <c r="W87" i="1"/>
  <c r="Y68" i="1" l="1"/>
  <c r="X68" i="1"/>
  <c r="U68" i="1"/>
  <c r="R68" i="1"/>
  <c r="O68" i="1"/>
  <c r="L68" i="1"/>
  <c r="I68" i="1"/>
  <c r="F68" i="1"/>
  <c r="Z67" i="1"/>
  <c r="W67" i="1"/>
  <c r="Z66" i="1"/>
  <c r="W66" i="1"/>
  <c r="Z65" i="1"/>
  <c r="W65" i="1"/>
  <c r="Z64" i="1"/>
  <c r="W64" i="1"/>
  <c r="Z63" i="1"/>
  <c r="W63" i="1"/>
  <c r="Z62" i="1"/>
  <c r="W62" i="1"/>
  <c r="Z61" i="1"/>
  <c r="W61" i="1"/>
  <c r="Z60" i="1"/>
  <c r="W60" i="1"/>
  <c r="Z59" i="1"/>
  <c r="T68" i="1"/>
  <c r="Q68" i="1"/>
  <c r="N68" i="1"/>
  <c r="K68" i="1"/>
  <c r="H68" i="1"/>
  <c r="E68" i="1"/>
  <c r="T48" i="1"/>
  <c r="S48" i="1"/>
  <c r="Q48" i="1"/>
  <c r="P48" i="1"/>
  <c r="N48" i="1"/>
  <c r="M48" i="1"/>
  <c r="K48" i="1"/>
  <c r="J48" i="1"/>
  <c r="H48" i="1"/>
  <c r="G48" i="1"/>
  <c r="E48" i="1"/>
  <c r="D48" i="1"/>
  <c r="Q46" i="1"/>
  <c r="T50" i="1"/>
  <c r="S50" i="1"/>
  <c r="Q50" i="1"/>
  <c r="P50" i="1"/>
  <c r="N50" i="1"/>
  <c r="M50" i="1"/>
  <c r="K50" i="1"/>
  <c r="J50" i="1"/>
  <c r="H50" i="1"/>
  <c r="G50" i="1"/>
  <c r="E50" i="1"/>
  <c r="D50" i="1"/>
  <c r="H44" i="1"/>
  <c r="T44" i="1"/>
  <c r="S44" i="1"/>
  <c r="Q44" i="1"/>
  <c r="P44" i="1"/>
  <c r="N44" i="1"/>
  <c r="M44" i="1"/>
  <c r="K44" i="1"/>
  <c r="J44" i="1"/>
  <c r="G44" i="1"/>
  <c r="E44" i="1"/>
  <c r="D44" i="1"/>
  <c r="T46" i="1"/>
  <c r="S46" i="1"/>
  <c r="P46" i="1"/>
  <c r="N46" i="1"/>
  <c r="M46" i="1"/>
  <c r="K46" i="1"/>
  <c r="J46" i="1"/>
  <c r="H46" i="1"/>
  <c r="G46" i="1"/>
  <c r="E46" i="1"/>
  <c r="D46" i="1"/>
  <c r="T51" i="1"/>
  <c r="S51" i="1"/>
  <c r="Q51" i="1"/>
  <c r="P51" i="1"/>
  <c r="N51" i="1"/>
  <c r="M51" i="1"/>
  <c r="K51" i="1"/>
  <c r="J51" i="1"/>
  <c r="T49" i="1"/>
  <c r="S49" i="1"/>
  <c r="Q49" i="1"/>
  <c r="P49" i="1"/>
  <c r="N49" i="1"/>
  <c r="M49" i="1"/>
  <c r="K49" i="1"/>
  <c r="J49" i="1"/>
  <c r="Z52" i="1"/>
  <c r="T52" i="1"/>
  <c r="S52" i="1"/>
  <c r="Q52" i="1"/>
  <c r="P52" i="1"/>
  <c r="N52" i="1"/>
  <c r="M52" i="1"/>
  <c r="K52" i="1"/>
  <c r="J52" i="1"/>
  <c r="H52" i="1"/>
  <c r="G52" i="1"/>
  <c r="E52" i="1"/>
  <c r="D52" i="1"/>
  <c r="T45" i="1"/>
  <c r="S45" i="1"/>
  <c r="P45" i="1"/>
  <c r="N45" i="1"/>
  <c r="M45" i="1"/>
  <c r="K45" i="1"/>
  <c r="J45" i="1"/>
  <c r="H45" i="1"/>
  <c r="G45" i="1"/>
  <c r="E45" i="1"/>
  <c r="D45" i="1"/>
  <c r="AJ20" i="6"/>
  <c r="AE20" i="6"/>
  <c r="AK20" i="6" s="1"/>
  <c r="AH20" i="6"/>
  <c r="AF20" i="6"/>
  <c r="AG20" i="6" s="1"/>
  <c r="AK19" i="6"/>
  <c r="AI19" i="6"/>
  <c r="AG19" i="6"/>
  <c r="AK18" i="6"/>
  <c r="AI18" i="6"/>
  <c r="AG18" i="6"/>
  <c r="AK17" i="6"/>
  <c r="AI17" i="6"/>
  <c r="AG17" i="6"/>
  <c r="AK16" i="6"/>
  <c r="AI16" i="6"/>
  <c r="AG16" i="6"/>
  <c r="AK15" i="6"/>
  <c r="AI15" i="6"/>
  <c r="AG15" i="6"/>
  <c r="AK14" i="6"/>
  <c r="AI14" i="6"/>
  <c r="AG14" i="6"/>
  <c r="AK13" i="6"/>
  <c r="AI13" i="6"/>
  <c r="AG13" i="6"/>
  <c r="AK12" i="6"/>
  <c r="AI12" i="6"/>
  <c r="AG12" i="6"/>
  <c r="AK11" i="6"/>
  <c r="AI11" i="6"/>
  <c r="AG11" i="6"/>
  <c r="AC20" i="6"/>
  <c r="X20" i="6"/>
  <c r="AD20" i="6" s="1"/>
  <c r="AA20" i="6"/>
  <c r="AB20" i="6" s="1"/>
  <c r="Y20" i="6"/>
  <c r="Z20" i="6" s="1"/>
  <c r="AD19" i="6"/>
  <c r="AB19" i="6"/>
  <c r="Z19" i="6"/>
  <c r="AD18" i="6"/>
  <c r="AB18" i="6"/>
  <c r="Z18" i="6"/>
  <c r="AD17" i="6"/>
  <c r="AB17" i="6"/>
  <c r="Z17" i="6"/>
  <c r="AD16" i="6"/>
  <c r="AB16" i="6"/>
  <c r="Z16" i="6"/>
  <c r="AD15" i="6"/>
  <c r="AB15" i="6"/>
  <c r="Z15" i="6"/>
  <c r="AD14" i="6"/>
  <c r="AB14" i="6"/>
  <c r="Z14" i="6"/>
  <c r="AD13" i="6"/>
  <c r="AB13" i="6"/>
  <c r="Z13" i="6"/>
  <c r="AD12" i="6"/>
  <c r="AB12" i="6"/>
  <c r="Z12" i="6"/>
  <c r="AD11" i="6"/>
  <c r="AB11" i="6"/>
  <c r="Z11" i="6"/>
  <c r="T47" i="1"/>
  <c r="S47" i="1"/>
  <c r="Q47" i="1"/>
  <c r="P47" i="1"/>
  <c r="N47" i="1"/>
  <c r="K47" i="1"/>
  <c r="M47" i="1"/>
  <c r="J47" i="1"/>
  <c r="H47" i="1"/>
  <c r="G47" i="1"/>
  <c r="E47" i="1"/>
  <c r="D47" i="1"/>
  <c r="Z44" i="1"/>
  <c r="Z45" i="1"/>
  <c r="Z46" i="1"/>
  <c r="Z47" i="1"/>
  <c r="Z48" i="1"/>
  <c r="Z49" i="1"/>
  <c r="Z50" i="1"/>
  <c r="Z51" i="1"/>
  <c r="Y53" i="1"/>
  <c r="X53" i="1"/>
  <c r="U53" i="1"/>
  <c r="R53" i="1"/>
  <c r="O53" i="1"/>
  <c r="L53" i="1"/>
  <c r="I53" i="1"/>
  <c r="F53" i="1"/>
  <c r="DI19" i="2"/>
  <c r="DE19" i="2" s="1"/>
  <c r="DF19" i="2" s="1"/>
  <c r="DD19" i="2"/>
  <c r="DJ19" i="2"/>
  <c r="DG19" i="2"/>
  <c r="DH19" i="2"/>
  <c r="DJ18" i="2"/>
  <c r="DH18" i="2"/>
  <c r="DE18" i="2"/>
  <c r="DF18" i="2"/>
  <c r="DJ17" i="2"/>
  <c r="DH17" i="2"/>
  <c r="DE17" i="2"/>
  <c r="DF17" i="2"/>
  <c r="DJ16" i="2"/>
  <c r="DH16" i="2"/>
  <c r="DE16" i="2"/>
  <c r="DF16" i="2"/>
  <c r="DJ15" i="2"/>
  <c r="DH15" i="2"/>
  <c r="DE15" i="2"/>
  <c r="DF15" i="2"/>
  <c r="DJ14" i="2"/>
  <c r="DH14" i="2"/>
  <c r="DE14" i="2"/>
  <c r="DF14" i="2"/>
  <c r="DJ13" i="2"/>
  <c r="DH13" i="2"/>
  <c r="DE13" i="2"/>
  <c r="DF13" i="2"/>
  <c r="DJ12" i="2"/>
  <c r="DH12" i="2"/>
  <c r="DE12" i="2"/>
  <c r="DF12" i="2" s="1"/>
  <c r="DJ11" i="2"/>
  <c r="DH11" i="2"/>
  <c r="DE11" i="2"/>
  <c r="DF11" i="2" s="1"/>
  <c r="DJ10" i="2"/>
  <c r="DH10" i="2"/>
  <c r="DE10" i="2"/>
  <c r="DF10" i="2" s="1"/>
  <c r="BS19" i="4"/>
  <c r="BP19" i="4"/>
  <c r="BT19" i="4" s="1"/>
  <c r="BQ10" i="4"/>
  <c r="BQ11" i="4"/>
  <c r="BQ12" i="4"/>
  <c r="BR12" i="4" s="1"/>
  <c r="BQ13" i="4"/>
  <c r="BQ14" i="4"/>
  <c r="BR14" i="4" s="1"/>
  <c r="BQ15" i="4"/>
  <c r="BQ16" i="4"/>
  <c r="BR16" i="4" s="1"/>
  <c r="BQ17" i="4"/>
  <c r="BQ18" i="4"/>
  <c r="BR18" i="4" s="1"/>
  <c r="BT18" i="4"/>
  <c r="BT17" i="4"/>
  <c r="BR17" i="4"/>
  <c r="BT16" i="4"/>
  <c r="BT15" i="4"/>
  <c r="BR15" i="4"/>
  <c r="BT14" i="4"/>
  <c r="BT13" i="4"/>
  <c r="BR13" i="4"/>
  <c r="BT12" i="4"/>
  <c r="BT11" i="4"/>
  <c r="BR11" i="4"/>
  <c r="BT10" i="4"/>
  <c r="H32" i="1"/>
  <c r="G32" i="1"/>
  <c r="T32" i="1"/>
  <c r="S32" i="1"/>
  <c r="Q32" i="1"/>
  <c r="P32" i="1"/>
  <c r="N32" i="1"/>
  <c r="M32" i="1"/>
  <c r="K32" i="1"/>
  <c r="J32" i="1"/>
  <c r="E32" i="1"/>
  <c r="D32" i="1"/>
  <c r="Q38" i="1"/>
  <c r="P38" i="1"/>
  <c r="T38" i="1"/>
  <c r="S38" i="1"/>
  <c r="M38" i="1"/>
  <c r="N38" i="1"/>
  <c r="K38" i="1"/>
  <c r="J38" i="1"/>
  <c r="H38" i="1"/>
  <c r="G38" i="1"/>
  <c r="E38" i="1"/>
  <c r="D38" i="1"/>
  <c r="T37" i="1"/>
  <c r="S37" i="1"/>
  <c r="Q37" i="1"/>
  <c r="P37" i="1"/>
  <c r="N37" i="1"/>
  <c r="M37" i="1"/>
  <c r="K37" i="1"/>
  <c r="J37" i="1"/>
  <c r="H37" i="1"/>
  <c r="G37" i="1"/>
  <c r="T36" i="1"/>
  <c r="S36" i="1"/>
  <c r="Q36" i="1"/>
  <c r="P36" i="1"/>
  <c r="N36" i="1"/>
  <c r="M36" i="1"/>
  <c r="K36" i="1"/>
  <c r="J36" i="1"/>
  <c r="H36" i="1"/>
  <c r="G36" i="1"/>
  <c r="E36" i="1"/>
  <c r="D36" i="1"/>
  <c r="T35" i="1"/>
  <c r="S35" i="1"/>
  <c r="Q35" i="1"/>
  <c r="P35" i="1"/>
  <c r="N35" i="1"/>
  <c r="M35" i="1"/>
  <c r="K35" i="1"/>
  <c r="J35" i="1"/>
  <c r="H35" i="1"/>
  <c r="G35" i="1"/>
  <c r="T34" i="1"/>
  <c r="S34" i="1"/>
  <c r="P34" i="1"/>
  <c r="Q34" i="1"/>
  <c r="N34" i="1"/>
  <c r="M34" i="1"/>
  <c r="K34" i="1"/>
  <c r="J34" i="1"/>
  <c r="H34" i="1"/>
  <c r="G34" i="1"/>
  <c r="E34" i="1"/>
  <c r="D34" i="1"/>
  <c r="T33" i="1"/>
  <c r="S33" i="1"/>
  <c r="Q33" i="1"/>
  <c r="P33" i="1"/>
  <c r="N33" i="1"/>
  <c r="M33" i="1"/>
  <c r="K33" i="1"/>
  <c r="J33" i="1"/>
  <c r="H33" i="1"/>
  <c r="G33" i="1"/>
  <c r="E33" i="1"/>
  <c r="D33" i="1"/>
  <c r="T31" i="1"/>
  <c r="S31" i="1"/>
  <c r="Q31" i="1"/>
  <c r="P31" i="1"/>
  <c r="N31" i="1"/>
  <c r="M31" i="1"/>
  <c r="K31" i="1"/>
  <c r="J31" i="1"/>
  <c r="H31" i="1"/>
  <c r="G31" i="1"/>
  <c r="E31" i="1"/>
  <c r="D31" i="1"/>
  <c r="DB19" i="2"/>
  <c r="CW19" i="2"/>
  <c r="DC19" i="2" s="1"/>
  <c r="CZ19" i="2"/>
  <c r="DC18" i="2"/>
  <c r="DA18" i="2"/>
  <c r="CX18" i="2"/>
  <c r="CY18" i="2" s="1"/>
  <c r="DC17" i="2"/>
  <c r="DA17" i="2"/>
  <c r="CX17" i="2"/>
  <c r="CY17" i="2" s="1"/>
  <c r="DC16" i="2"/>
  <c r="DA16" i="2"/>
  <c r="CX16" i="2"/>
  <c r="CY16" i="2" s="1"/>
  <c r="DC15" i="2"/>
  <c r="DA15" i="2"/>
  <c r="CX15" i="2"/>
  <c r="CY15" i="2" s="1"/>
  <c r="DC14" i="2"/>
  <c r="DA14" i="2"/>
  <c r="CX14" i="2"/>
  <c r="CY14" i="2" s="1"/>
  <c r="DC13" i="2"/>
  <c r="DA13" i="2"/>
  <c r="CX13" i="2"/>
  <c r="CY13" i="2" s="1"/>
  <c r="DC12" i="2"/>
  <c r="DA12" i="2"/>
  <c r="CX12" i="2"/>
  <c r="CY12" i="2" s="1"/>
  <c r="DC11" i="2"/>
  <c r="DA11" i="2"/>
  <c r="CX11" i="2"/>
  <c r="CY11" i="2" s="1"/>
  <c r="DC10" i="2"/>
  <c r="DA10" i="2"/>
  <c r="CX10" i="2"/>
  <c r="CY10" i="2" s="1"/>
  <c r="BN19" i="4"/>
  <c r="BK19" i="4"/>
  <c r="BO19" i="4" s="1"/>
  <c r="BL10" i="4"/>
  <c r="BL11" i="4"/>
  <c r="BL12" i="4"/>
  <c r="BL13" i="4"/>
  <c r="BM13" i="4" s="1"/>
  <c r="BL14" i="4"/>
  <c r="BL15" i="4"/>
  <c r="BM15" i="4" s="1"/>
  <c r="BL16" i="4"/>
  <c r="BL17" i="4"/>
  <c r="BM17" i="4" s="1"/>
  <c r="BL18" i="4"/>
  <c r="BM18" i="4" s="1"/>
  <c r="BO18" i="4"/>
  <c r="BO17" i="4"/>
  <c r="BO16" i="4"/>
  <c r="BM16" i="4"/>
  <c r="BO15" i="4"/>
  <c r="BO14" i="4"/>
  <c r="BM14" i="4"/>
  <c r="BO13" i="4"/>
  <c r="BO12" i="4"/>
  <c r="BM12" i="4"/>
  <c r="BO11" i="4"/>
  <c r="BO10" i="4"/>
  <c r="BM10" i="4"/>
  <c r="D30" i="1"/>
  <c r="T30" i="1"/>
  <c r="S30" i="1"/>
  <c r="Q30" i="1"/>
  <c r="P30" i="1"/>
  <c r="N30" i="1"/>
  <c r="M30" i="1"/>
  <c r="K30" i="1"/>
  <c r="J30" i="1"/>
  <c r="H30" i="1"/>
  <c r="G30" i="1"/>
  <c r="E30" i="1"/>
  <c r="Z30" i="1"/>
  <c r="Z31" i="1"/>
  <c r="Z32" i="1"/>
  <c r="Z33" i="1"/>
  <c r="Z34" i="1"/>
  <c r="Z35" i="1"/>
  <c r="Z36" i="1"/>
  <c r="Z37" i="1"/>
  <c r="Z38" i="1"/>
  <c r="Y39" i="1"/>
  <c r="X39" i="1"/>
  <c r="U39" i="1"/>
  <c r="R39" i="1"/>
  <c r="O39" i="1"/>
  <c r="L39" i="1"/>
  <c r="I39" i="1"/>
  <c r="F39" i="1"/>
  <c r="W11" i="6"/>
  <c r="W12" i="6"/>
  <c r="W15" i="6"/>
  <c r="W16" i="6"/>
  <c r="W17" i="6"/>
  <c r="W18" i="6"/>
  <c r="W19" i="6"/>
  <c r="Q20" i="6"/>
  <c r="V20" i="6"/>
  <c r="W20" i="6"/>
  <c r="W14" i="6"/>
  <c r="W13" i="6"/>
  <c r="T20" i="6"/>
  <c r="U20" i="6"/>
  <c r="R20" i="6"/>
  <c r="S20" i="6"/>
  <c r="M20" i="6"/>
  <c r="J20" i="6"/>
  <c r="N20" i="6" s="1"/>
  <c r="K20" i="6"/>
  <c r="F20" i="6"/>
  <c r="C20" i="6"/>
  <c r="G20" i="6"/>
  <c r="D20" i="6"/>
  <c r="E20" i="6"/>
  <c r="U19" i="6"/>
  <c r="S19" i="6"/>
  <c r="N19" i="6"/>
  <c r="L19" i="6"/>
  <c r="G19" i="6"/>
  <c r="E19" i="6"/>
  <c r="A12" i="6"/>
  <c r="A13" i="6"/>
  <c r="A14" i="6" s="1"/>
  <c r="A15" i="6" s="1"/>
  <c r="A16" i="6" s="1"/>
  <c r="A17" i="6" s="1"/>
  <c r="A18" i="6" s="1"/>
  <c r="A19" i="6" s="1"/>
  <c r="U18" i="6"/>
  <c r="S18" i="6"/>
  <c r="N18" i="6"/>
  <c r="L18" i="6"/>
  <c r="G18" i="6"/>
  <c r="E18" i="6"/>
  <c r="U17" i="6"/>
  <c r="S17" i="6"/>
  <c r="N17" i="6"/>
  <c r="L17" i="6"/>
  <c r="G17" i="6"/>
  <c r="E17" i="6"/>
  <c r="U16" i="6"/>
  <c r="S16" i="6"/>
  <c r="N16" i="6"/>
  <c r="L16" i="6"/>
  <c r="G16" i="6"/>
  <c r="E16" i="6"/>
  <c r="U15" i="6"/>
  <c r="S15" i="6"/>
  <c r="N15" i="6"/>
  <c r="L15" i="6"/>
  <c r="G15" i="6"/>
  <c r="E15" i="6"/>
  <c r="U14" i="6"/>
  <c r="S14" i="6"/>
  <c r="N14" i="6"/>
  <c r="L14" i="6"/>
  <c r="G14" i="6"/>
  <c r="E14" i="6"/>
  <c r="U13" i="6"/>
  <c r="S13" i="6"/>
  <c r="N13" i="6"/>
  <c r="L13" i="6"/>
  <c r="G13" i="6"/>
  <c r="E13" i="6"/>
  <c r="U12" i="6"/>
  <c r="S12" i="6"/>
  <c r="N12" i="6"/>
  <c r="L12" i="6"/>
  <c r="G12" i="6"/>
  <c r="E12" i="6"/>
  <c r="U11" i="6"/>
  <c r="S11" i="6"/>
  <c r="N11" i="6"/>
  <c r="L11" i="6"/>
  <c r="G11" i="6"/>
  <c r="E11" i="6"/>
  <c r="CU19" i="2"/>
  <c r="CP19" i="2"/>
  <c r="CS19" i="2"/>
  <c r="CQ19" i="2" s="1"/>
  <c r="CR19" i="2" s="1"/>
  <c r="CV18" i="2"/>
  <c r="CT18" i="2"/>
  <c r="CQ18" i="2"/>
  <c r="CR18" i="2" s="1"/>
  <c r="CV17" i="2"/>
  <c r="CT17" i="2"/>
  <c r="CQ17" i="2"/>
  <c r="CR17" i="2" s="1"/>
  <c r="CV16" i="2"/>
  <c r="CT16" i="2"/>
  <c r="CQ16" i="2"/>
  <c r="CR16" i="2" s="1"/>
  <c r="CV15" i="2"/>
  <c r="CT15" i="2"/>
  <c r="CQ15" i="2"/>
  <c r="CR15" i="2" s="1"/>
  <c r="CV14" i="2"/>
  <c r="CT14" i="2"/>
  <c r="CQ14" i="2"/>
  <c r="CR14" i="2" s="1"/>
  <c r="CV13" i="2"/>
  <c r="CT13" i="2"/>
  <c r="CQ13" i="2"/>
  <c r="CR13" i="2" s="1"/>
  <c r="CV12" i="2"/>
  <c r="CT12" i="2"/>
  <c r="CQ12" i="2"/>
  <c r="CR12" i="2" s="1"/>
  <c r="CV11" i="2"/>
  <c r="CT11" i="2"/>
  <c r="CQ11" i="2"/>
  <c r="CR11" i="2" s="1"/>
  <c r="CV10" i="2"/>
  <c r="CT10" i="2"/>
  <c r="CQ10" i="2"/>
  <c r="CR10" i="2" s="1"/>
  <c r="BG10" i="4"/>
  <c r="BG11" i="4"/>
  <c r="BG12" i="4"/>
  <c r="BH12" i="4" s="1"/>
  <c r="BG13" i="4"/>
  <c r="BG14" i="4"/>
  <c r="BH14" i="4" s="1"/>
  <c r="BG15" i="4"/>
  <c r="BG16" i="4"/>
  <c r="BH16" i="4" s="1"/>
  <c r="BG17" i="4"/>
  <c r="BG18" i="4"/>
  <c r="BH18" i="4" s="1"/>
  <c r="BI19" i="4"/>
  <c r="BF19" i="4"/>
  <c r="BJ19" i="4" s="1"/>
  <c r="BJ18" i="4"/>
  <c r="BJ17" i="4"/>
  <c r="BH17" i="4"/>
  <c r="BJ16" i="4"/>
  <c r="BJ15" i="4"/>
  <c r="BH15" i="4"/>
  <c r="BJ14" i="4"/>
  <c r="BJ13" i="4"/>
  <c r="BH13" i="4"/>
  <c r="BJ12" i="4"/>
  <c r="BJ11" i="4"/>
  <c r="BH11" i="4"/>
  <c r="BJ10" i="4"/>
  <c r="Z19" i="1"/>
  <c r="Z20" i="1"/>
  <c r="Z21" i="1"/>
  <c r="Z22" i="1"/>
  <c r="Z23" i="1"/>
  <c r="Z24" i="1"/>
  <c r="Z25" i="1"/>
  <c r="Z26" i="1"/>
  <c r="Z27" i="1"/>
  <c r="Y28" i="1"/>
  <c r="X28" i="1"/>
  <c r="W19" i="1"/>
  <c r="W20" i="1"/>
  <c r="W21" i="1"/>
  <c r="W22" i="1"/>
  <c r="W23" i="1"/>
  <c r="W24" i="1"/>
  <c r="W25" i="1"/>
  <c r="W26" i="1"/>
  <c r="W27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B17" i="4"/>
  <c r="BB16" i="4"/>
  <c r="CC13" i="2"/>
  <c r="CJ10" i="2"/>
  <c r="CJ12" i="2"/>
  <c r="CJ13" i="2"/>
  <c r="CK13" i="2" s="1"/>
  <c r="CJ14" i="2"/>
  <c r="CJ15" i="2"/>
  <c r="CK15" i="2" s="1"/>
  <c r="CJ16" i="2"/>
  <c r="CJ17" i="2"/>
  <c r="CK17" i="2" s="1"/>
  <c r="CJ18" i="2"/>
  <c r="BB13" i="4"/>
  <c r="BB14" i="4"/>
  <c r="BB15" i="4"/>
  <c r="BB18" i="4"/>
  <c r="BB10" i="4"/>
  <c r="BB12" i="4"/>
  <c r="CJ11" i="2"/>
  <c r="CK11" i="2" s="1"/>
  <c r="CN19" i="2"/>
  <c r="CI19" i="2"/>
  <c r="CO19" i="2" s="1"/>
  <c r="CL19" i="2"/>
  <c r="CO18" i="2"/>
  <c r="CM18" i="2"/>
  <c r="CK18" i="2"/>
  <c r="CO17" i="2"/>
  <c r="CM17" i="2"/>
  <c r="CO16" i="2"/>
  <c r="CM16" i="2"/>
  <c r="CK16" i="2"/>
  <c r="CO15" i="2"/>
  <c r="CM15" i="2"/>
  <c r="CO14" i="2"/>
  <c r="CM14" i="2"/>
  <c r="CK14" i="2"/>
  <c r="CO13" i="2"/>
  <c r="CM13" i="2"/>
  <c r="CO12" i="2"/>
  <c r="CM12" i="2"/>
  <c r="CK12" i="2"/>
  <c r="CO11" i="2"/>
  <c r="CM11" i="2"/>
  <c r="CO10" i="2"/>
  <c r="CM10" i="2"/>
  <c r="CK10" i="2"/>
  <c r="BD19" i="4"/>
  <c r="BA19" i="4"/>
  <c r="BE19" i="4" s="1"/>
  <c r="BB11" i="4"/>
  <c r="BE18" i="4"/>
  <c r="BC18" i="4"/>
  <c r="BE17" i="4"/>
  <c r="BC17" i="4"/>
  <c r="BE16" i="4"/>
  <c r="BC16" i="4"/>
  <c r="BE15" i="4"/>
  <c r="BC15" i="4"/>
  <c r="BE14" i="4"/>
  <c r="BC14" i="4"/>
  <c r="BE13" i="4"/>
  <c r="BC13" i="4"/>
  <c r="BE12" i="4"/>
  <c r="BC12" i="4"/>
  <c r="BE11" i="4"/>
  <c r="BC11" i="4"/>
  <c r="BE10" i="4"/>
  <c r="BC10" i="4"/>
  <c r="Z8" i="1"/>
  <c r="Z9" i="1"/>
  <c r="Z10" i="1"/>
  <c r="Z11" i="1"/>
  <c r="Z12" i="1"/>
  <c r="Z13" i="1"/>
  <c r="Z14" i="1"/>
  <c r="Z15" i="1"/>
  <c r="Z16" i="1"/>
  <c r="Y17" i="1"/>
  <c r="X17" i="1"/>
  <c r="W8" i="1"/>
  <c r="W9" i="1"/>
  <c r="W10" i="1"/>
  <c r="W11" i="1"/>
  <c r="W12" i="1"/>
  <c r="W13" i="1"/>
  <c r="W14" i="1"/>
  <c r="W15" i="1"/>
  <c r="W16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AW15" i="4"/>
  <c r="AW10" i="4"/>
  <c r="AX10" i="4" s="1"/>
  <c r="CG19" i="2"/>
  <c r="CB19" i="2"/>
  <c r="CE19" i="2"/>
  <c r="CC19" i="2" s="1"/>
  <c r="CD19" i="2" s="1"/>
  <c r="CH18" i="2"/>
  <c r="CF18" i="2"/>
  <c r="CC18" i="2"/>
  <c r="CD18" i="2" s="1"/>
  <c r="CH17" i="2"/>
  <c r="CF17" i="2"/>
  <c r="CC17" i="2"/>
  <c r="CD17" i="2" s="1"/>
  <c r="CH16" i="2"/>
  <c r="CF16" i="2"/>
  <c r="CC16" i="2"/>
  <c r="CD16" i="2" s="1"/>
  <c r="CH15" i="2"/>
  <c r="CF15" i="2"/>
  <c r="CC15" i="2"/>
  <c r="CD15" i="2" s="1"/>
  <c r="CH14" i="2"/>
  <c r="CF14" i="2"/>
  <c r="CC14" i="2"/>
  <c r="CD14" i="2" s="1"/>
  <c r="CH13" i="2"/>
  <c r="CF13" i="2"/>
  <c r="CD13" i="2"/>
  <c r="CH12" i="2"/>
  <c r="CF12" i="2"/>
  <c r="CC12" i="2"/>
  <c r="CD12" i="2" s="1"/>
  <c r="CH11" i="2"/>
  <c r="CF11" i="2"/>
  <c r="CC11" i="2"/>
  <c r="CD11" i="2" s="1"/>
  <c r="CH10" i="2"/>
  <c r="CF10" i="2"/>
  <c r="CC10" i="2"/>
  <c r="CD10" i="2" s="1"/>
  <c r="AY19" i="4"/>
  <c r="AV19" i="4"/>
  <c r="AZ19" i="4"/>
  <c r="AW11" i="4"/>
  <c r="AW12" i="4"/>
  <c r="AX12" i="4" s="1"/>
  <c r="AW13" i="4"/>
  <c r="AW19" i="4" s="1"/>
  <c r="AX19" i="4" s="1"/>
  <c r="AW14" i="4"/>
  <c r="AX14" i="4" s="1"/>
  <c r="AW16" i="4"/>
  <c r="AX16" i="4" s="1"/>
  <c r="AW17" i="4"/>
  <c r="AX17" i="4" s="1"/>
  <c r="AW18" i="4"/>
  <c r="AZ18" i="4"/>
  <c r="AX18" i="4"/>
  <c r="AZ17" i="4"/>
  <c r="AZ16" i="4"/>
  <c r="AZ15" i="4"/>
  <c r="AX15" i="4"/>
  <c r="AZ14" i="4"/>
  <c r="AZ13" i="4"/>
  <c r="AX13" i="4"/>
  <c r="AZ12" i="4"/>
  <c r="AZ11" i="4"/>
  <c r="AX11" i="4"/>
  <c r="AZ10" i="4"/>
  <c r="BZ19" i="2"/>
  <c r="BV19" i="2" s="1"/>
  <c r="BW19" i="2" s="1"/>
  <c r="BU19" i="2"/>
  <c r="CA19" i="2"/>
  <c r="BX19" i="2"/>
  <c r="BY19" i="2"/>
  <c r="CA18" i="2"/>
  <c r="BY18" i="2"/>
  <c r="BV18" i="2"/>
  <c r="BW18" i="2"/>
  <c r="CA17" i="2"/>
  <c r="BY17" i="2"/>
  <c r="BV17" i="2"/>
  <c r="BW17" i="2"/>
  <c r="CA16" i="2"/>
  <c r="BY16" i="2"/>
  <c r="BV16" i="2"/>
  <c r="BW16" i="2"/>
  <c r="CA15" i="2"/>
  <c r="BY15" i="2"/>
  <c r="BV15" i="2"/>
  <c r="BW15" i="2"/>
  <c r="CA14" i="2"/>
  <c r="BY14" i="2"/>
  <c r="BV14" i="2"/>
  <c r="BW14" i="2"/>
  <c r="CA13" i="2"/>
  <c r="BY13" i="2"/>
  <c r="BV13" i="2"/>
  <c r="BW13" i="2"/>
  <c r="CA12" i="2"/>
  <c r="BY12" i="2"/>
  <c r="BV12" i="2"/>
  <c r="BW12" i="2"/>
  <c r="CA11" i="2"/>
  <c r="BY11" i="2"/>
  <c r="BV11" i="2"/>
  <c r="BW11" i="2"/>
  <c r="CA10" i="2"/>
  <c r="BY10" i="2"/>
  <c r="BV10" i="2"/>
  <c r="BW10" i="2"/>
  <c r="AT19" i="4"/>
  <c r="AQ19" i="4"/>
  <c r="AU19" i="4" s="1"/>
  <c r="AR10" i="4"/>
  <c r="AR11" i="4"/>
  <c r="AS11" i="4" s="1"/>
  <c r="AR12" i="4"/>
  <c r="AS12" i="4" s="1"/>
  <c r="AR13" i="4"/>
  <c r="AS13" i="4" s="1"/>
  <c r="AR14" i="4"/>
  <c r="AR15" i="4"/>
  <c r="AS15" i="4"/>
  <c r="AR16" i="4"/>
  <c r="AR17" i="4"/>
  <c r="AS17" i="4" s="1"/>
  <c r="AR18" i="4"/>
  <c r="AS18" i="4" s="1"/>
  <c r="AU18" i="4"/>
  <c r="AU17" i="4"/>
  <c r="AU16" i="4"/>
  <c r="AS16" i="4"/>
  <c r="AU15" i="4"/>
  <c r="AU14" i="4"/>
  <c r="AS14" i="4"/>
  <c r="AU13" i="4"/>
  <c r="AU12" i="4"/>
  <c r="AU11" i="4"/>
  <c r="AU10" i="4"/>
  <c r="BS19" i="2"/>
  <c r="BN19" i="2"/>
  <c r="BT19" i="2"/>
  <c r="BQ19" i="2"/>
  <c r="BR19" i="2" s="1"/>
  <c r="BT18" i="2"/>
  <c r="BR18" i="2"/>
  <c r="BO18" i="2"/>
  <c r="BP18" i="2" s="1"/>
  <c r="BT17" i="2"/>
  <c r="BR17" i="2"/>
  <c r="BO17" i="2"/>
  <c r="BP17" i="2" s="1"/>
  <c r="BT16" i="2"/>
  <c r="BR16" i="2"/>
  <c r="BO16" i="2"/>
  <c r="BP16" i="2" s="1"/>
  <c r="BT15" i="2"/>
  <c r="BR15" i="2"/>
  <c r="BO15" i="2"/>
  <c r="BP15" i="2" s="1"/>
  <c r="BT14" i="2"/>
  <c r="BR14" i="2"/>
  <c r="BO14" i="2"/>
  <c r="BP14" i="2" s="1"/>
  <c r="BT13" i="2"/>
  <c r="BR13" i="2"/>
  <c r="BO13" i="2"/>
  <c r="BP13" i="2" s="1"/>
  <c r="BT12" i="2"/>
  <c r="BR12" i="2"/>
  <c r="BO12" i="2"/>
  <c r="BP12" i="2" s="1"/>
  <c r="BT11" i="2"/>
  <c r="BR11" i="2"/>
  <c r="BO11" i="2"/>
  <c r="BP11" i="2" s="1"/>
  <c r="BT10" i="2"/>
  <c r="BR10" i="2"/>
  <c r="BO10" i="2"/>
  <c r="BP10" i="2" s="1"/>
  <c r="BG19" i="2"/>
  <c r="BJ19" i="2"/>
  <c r="BL19" i="2"/>
  <c r="BH18" i="2"/>
  <c r="BI18" i="2" s="1"/>
  <c r="BH17" i="2"/>
  <c r="BI17" i="2" s="1"/>
  <c r="BH16" i="2"/>
  <c r="BI16" i="2" s="1"/>
  <c r="BH15" i="2"/>
  <c r="BI15" i="2" s="1"/>
  <c r="BH14" i="2"/>
  <c r="BI14" i="2" s="1"/>
  <c r="BH13" i="2"/>
  <c r="BI13" i="2" s="1"/>
  <c r="BH12" i="2"/>
  <c r="BI12" i="2" s="1"/>
  <c r="BH11" i="2"/>
  <c r="BI11" i="2" s="1"/>
  <c r="BH10" i="2"/>
  <c r="BI10" i="2" s="1"/>
  <c r="AZ19" i="2"/>
  <c r="BC19" i="2"/>
  <c r="BE19" i="2"/>
  <c r="BA18" i="2"/>
  <c r="BB18" i="2"/>
  <c r="BA17" i="2"/>
  <c r="BB17" i="2"/>
  <c r="BA16" i="2"/>
  <c r="BB16" i="2"/>
  <c r="BA15" i="2"/>
  <c r="BB15" i="2"/>
  <c r="BA14" i="2"/>
  <c r="BB14" i="2" s="1"/>
  <c r="BA13" i="2"/>
  <c r="BB13" i="2" s="1"/>
  <c r="BA12" i="2"/>
  <c r="BB12" i="2" s="1"/>
  <c r="BA11" i="2"/>
  <c r="BB11" i="2" s="1"/>
  <c r="BA10" i="2"/>
  <c r="BB10" i="2" s="1"/>
  <c r="AS19" i="2"/>
  <c r="AV19" i="2"/>
  <c r="AX19" i="2"/>
  <c r="AT18" i="2"/>
  <c r="AU18" i="2" s="1"/>
  <c r="AT17" i="2"/>
  <c r="AU17" i="2" s="1"/>
  <c r="AT16" i="2"/>
  <c r="AU16" i="2" s="1"/>
  <c r="AT15" i="2"/>
  <c r="AU15" i="2" s="1"/>
  <c r="AT14" i="2"/>
  <c r="AU14" i="2" s="1"/>
  <c r="AT13" i="2"/>
  <c r="AU13" i="2" s="1"/>
  <c r="AT12" i="2"/>
  <c r="AU12" i="2" s="1"/>
  <c r="AT11" i="2"/>
  <c r="AU11" i="2" s="1"/>
  <c r="AT10" i="2"/>
  <c r="AU10" i="2" s="1"/>
  <c r="AL19" i="2"/>
  <c r="AO19" i="2"/>
  <c r="AQ19" i="2"/>
  <c r="AM18" i="2"/>
  <c r="AN18" i="2" s="1"/>
  <c r="AM17" i="2"/>
  <c r="AN17" i="2" s="1"/>
  <c r="AM16" i="2"/>
  <c r="AN16" i="2" s="1"/>
  <c r="AM15" i="2"/>
  <c r="AN15" i="2" s="1"/>
  <c r="AM14" i="2"/>
  <c r="AN14" i="2" s="1"/>
  <c r="AM13" i="2"/>
  <c r="AN13" i="2" s="1"/>
  <c r="AM12" i="2"/>
  <c r="AN12" i="2" s="1"/>
  <c r="AM11" i="2"/>
  <c r="AN11" i="2" s="1"/>
  <c r="AM10" i="2"/>
  <c r="AN10" i="2" s="1"/>
  <c r="AE12" i="2"/>
  <c r="AK12" i="2" s="1"/>
  <c r="AE13" i="2"/>
  <c r="AE17" i="2"/>
  <c r="AE18" i="2"/>
  <c r="AI18" i="2" s="1"/>
  <c r="AH19" i="2"/>
  <c r="AJ19" i="2"/>
  <c r="X19" i="2"/>
  <c r="AA19" i="2"/>
  <c r="AC10" i="2"/>
  <c r="Y10" i="2" s="1"/>
  <c r="Z10" i="2" s="1"/>
  <c r="AC11" i="2"/>
  <c r="Y11" i="2" s="1"/>
  <c r="Z11" i="2" s="1"/>
  <c r="AC12" i="2"/>
  <c r="Y12" i="2" s="1"/>
  <c r="Z12" i="2" s="1"/>
  <c r="AC13" i="2"/>
  <c r="Y13" i="2" s="1"/>
  <c r="Z13" i="2" s="1"/>
  <c r="AC14" i="2"/>
  <c r="Y14" i="2" s="1"/>
  <c r="Z14" i="2" s="1"/>
  <c r="AC15" i="2"/>
  <c r="Y15" i="2" s="1"/>
  <c r="Z15" i="2" s="1"/>
  <c r="AC16" i="2"/>
  <c r="Y16" i="2" s="1"/>
  <c r="Z16" i="2" s="1"/>
  <c r="AC17" i="2"/>
  <c r="Y17" i="2" s="1"/>
  <c r="Z17" i="2" s="1"/>
  <c r="AC18" i="2"/>
  <c r="Y18" i="2" s="1"/>
  <c r="Z18" i="2" s="1"/>
  <c r="V19" i="2"/>
  <c r="Q19" i="2"/>
  <c r="W19" i="2" s="1"/>
  <c r="T19" i="2"/>
  <c r="W18" i="2"/>
  <c r="U18" i="2"/>
  <c r="R18" i="2"/>
  <c r="S18" i="2" s="1"/>
  <c r="W17" i="2"/>
  <c r="U17" i="2"/>
  <c r="R17" i="2"/>
  <c r="S17" i="2" s="1"/>
  <c r="W16" i="2"/>
  <c r="U16" i="2"/>
  <c r="R16" i="2"/>
  <c r="S16" i="2" s="1"/>
  <c r="W15" i="2"/>
  <c r="U15" i="2"/>
  <c r="R15" i="2"/>
  <c r="S15" i="2" s="1"/>
  <c r="W14" i="2"/>
  <c r="U14" i="2"/>
  <c r="R14" i="2"/>
  <c r="S14" i="2" s="1"/>
  <c r="W13" i="2"/>
  <c r="U13" i="2"/>
  <c r="R13" i="2"/>
  <c r="S13" i="2" s="1"/>
  <c r="W12" i="2"/>
  <c r="U12" i="2"/>
  <c r="R12" i="2"/>
  <c r="S12" i="2" s="1"/>
  <c r="W11" i="2"/>
  <c r="U11" i="2"/>
  <c r="R11" i="2"/>
  <c r="S11" i="2" s="1"/>
  <c r="W10" i="2"/>
  <c r="U10" i="2"/>
  <c r="R10" i="2"/>
  <c r="S10" i="2" s="1"/>
  <c r="O19" i="2"/>
  <c r="J13" i="2"/>
  <c r="J19" i="2" s="1"/>
  <c r="M19" i="2"/>
  <c r="K18" i="2"/>
  <c r="L18" i="2" s="1"/>
  <c r="K17" i="2"/>
  <c r="L17" i="2" s="1"/>
  <c r="K16" i="2"/>
  <c r="L16" i="2" s="1"/>
  <c r="K15" i="2"/>
  <c r="L15" i="2" s="1"/>
  <c r="K14" i="2"/>
  <c r="L14" i="2" s="1"/>
  <c r="K12" i="2"/>
  <c r="L12" i="2" s="1"/>
  <c r="K11" i="2"/>
  <c r="L11" i="2" s="1"/>
  <c r="K10" i="2"/>
  <c r="L10" i="2" s="1"/>
  <c r="C11" i="2"/>
  <c r="G11" i="2" s="1"/>
  <c r="C12" i="2"/>
  <c r="I12" i="2" s="1"/>
  <c r="C13" i="2"/>
  <c r="D13" i="2" s="1"/>
  <c r="E13" i="2" s="1"/>
  <c r="C14" i="2"/>
  <c r="I14" i="2" s="1"/>
  <c r="C15" i="2"/>
  <c r="I15" i="2" s="1"/>
  <c r="C16" i="2"/>
  <c r="I16" i="2" s="1"/>
  <c r="C17" i="2"/>
  <c r="G17" i="2" s="1"/>
  <c r="C18" i="2"/>
  <c r="I18" i="2" s="1"/>
  <c r="C10" i="2"/>
  <c r="D10" i="2" s="1"/>
  <c r="E10" i="2" s="1"/>
  <c r="F19" i="2"/>
  <c r="H19" i="2"/>
  <c r="AO19" i="4"/>
  <c r="AL19" i="4"/>
  <c r="AP19" i="4" s="1"/>
  <c r="AM10" i="4"/>
  <c r="AM11" i="4"/>
  <c r="AN11" i="4" s="1"/>
  <c r="AM12" i="4"/>
  <c r="AN12" i="4" s="1"/>
  <c r="AM13" i="4"/>
  <c r="AN13" i="4" s="1"/>
  <c r="AM14" i="4"/>
  <c r="AM15" i="4"/>
  <c r="AN15" i="4"/>
  <c r="AM16" i="4"/>
  <c r="AM17" i="4"/>
  <c r="AN17" i="4" s="1"/>
  <c r="AM18" i="4"/>
  <c r="AN18" i="4" s="1"/>
  <c r="AP18" i="4"/>
  <c r="AP17" i="4"/>
  <c r="AP16" i="4"/>
  <c r="AN16" i="4"/>
  <c r="AP15" i="4"/>
  <c r="AP14" i="4"/>
  <c r="AN14" i="4"/>
  <c r="AP13" i="4"/>
  <c r="AP12" i="4"/>
  <c r="AP11" i="4"/>
  <c r="AP10" i="4"/>
  <c r="C11" i="5"/>
  <c r="D11" i="5"/>
  <c r="F11" i="5"/>
  <c r="H11" i="5"/>
  <c r="I11" i="5"/>
  <c r="K11" i="5"/>
  <c r="L11" i="5" s="1"/>
  <c r="N11" i="5"/>
  <c r="P11" i="5"/>
  <c r="R11" i="5"/>
  <c r="S11" i="5"/>
  <c r="U11" i="5"/>
  <c r="W11" i="5"/>
  <c r="X11" i="5"/>
  <c r="Z11" i="5"/>
  <c r="AA11" i="5" s="1"/>
  <c r="AC11" i="5"/>
  <c r="AE11" i="5"/>
  <c r="AI11" i="5"/>
  <c r="AK11" i="5"/>
  <c r="A12" i="5"/>
  <c r="C12" i="5"/>
  <c r="D12" i="5"/>
  <c r="F12" i="5"/>
  <c r="G12" i="5" s="1"/>
  <c r="H12" i="5"/>
  <c r="I12" i="5"/>
  <c r="K12" i="5"/>
  <c r="N12" i="5"/>
  <c r="P12" i="5"/>
  <c r="R12" i="5"/>
  <c r="S12" i="5"/>
  <c r="U12" i="5"/>
  <c r="W12" i="5"/>
  <c r="X12" i="5"/>
  <c r="Z12" i="5"/>
  <c r="AC12" i="5"/>
  <c r="AE12" i="5"/>
  <c r="AI12" i="5"/>
  <c r="AK12" i="5"/>
  <c r="A13" i="5"/>
  <c r="A14" i="5" s="1"/>
  <c r="A15" i="5" s="1"/>
  <c r="A16" i="5" s="1"/>
  <c r="A17" i="5" s="1"/>
  <c r="A18" i="5" s="1"/>
  <c r="A19" i="5" s="1"/>
  <c r="C13" i="5"/>
  <c r="D13" i="5"/>
  <c r="F13" i="5"/>
  <c r="H13" i="5"/>
  <c r="I13" i="5"/>
  <c r="K13" i="5"/>
  <c r="N13" i="5"/>
  <c r="P13" i="5"/>
  <c r="R13" i="5"/>
  <c r="S13" i="5"/>
  <c r="U13" i="5"/>
  <c r="W13" i="5"/>
  <c r="X13" i="5"/>
  <c r="Z13" i="5"/>
  <c r="AC13" i="5"/>
  <c r="AE13" i="5"/>
  <c r="AI13" i="5"/>
  <c r="AK13" i="5"/>
  <c r="C14" i="5"/>
  <c r="D14" i="5"/>
  <c r="F14" i="5"/>
  <c r="H14" i="5"/>
  <c r="I14" i="5"/>
  <c r="K14" i="5"/>
  <c r="M14" i="5"/>
  <c r="N14" i="5"/>
  <c r="P14" i="5"/>
  <c r="R14" i="5"/>
  <c r="S14" i="5"/>
  <c r="U14" i="5"/>
  <c r="W14" i="5"/>
  <c r="X14" i="5"/>
  <c r="Z14" i="5"/>
  <c r="AC14" i="5"/>
  <c r="AE14" i="5"/>
  <c r="AI14" i="5"/>
  <c r="AK14" i="5"/>
  <c r="C15" i="5"/>
  <c r="D15" i="5"/>
  <c r="F15" i="5"/>
  <c r="G15" i="5" s="1"/>
  <c r="H15" i="5"/>
  <c r="I15" i="5"/>
  <c r="K15" i="5"/>
  <c r="N15" i="5"/>
  <c r="P15" i="5"/>
  <c r="R15" i="5"/>
  <c r="S15" i="5"/>
  <c r="U15" i="5"/>
  <c r="W15" i="5"/>
  <c r="X15" i="5"/>
  <c r="Z15" i="5"/>
  <c r="AC15" i="5"/>
  <c r="AE15" i="5"/>
  <c r="AI15" i="5"/>
  <c r="AK15" i="5"/>
  <c r="C16" i="5"/>
  <c r="D16" i="5"/>
  <c r="F16" i="5"/>
  <c r="H16" i="5"/>
  <c r="I16" i="5"/>
  <c r="K16" i="5"/>
  <c r="N16" i="5"/>
  <c r="P16" i="5"/>
  <c r="R16" i="5"/>
  <c r="S16" i="5"/>
  <c r="U16" i="5"/>
  <c r="W16" i="5"/>
  <c r="X16" i="5"/>
  <c r="Z16" i="5"/>
  <c r="AC16" i="5"/>
  <c r="AE16" i="5"/>
  <c r="AI16" i="5"/>
  <c r="AK16" i="5"/>
  <c r="C17" i="5"/>
  <c r="D17" i="5"/>
  <c r="F17" i="5"/>
  <c r="H17" i="5"/>
  <c r="I17" i="5"/>
  <c r="K17" i="5"/>
  <c r="N17" i="5"/>
  <c r="P17" i="5"/>
  <c r="R17" i="5"/>
  <c r="S17" i="5"/>
  <c r="U17" i="5"/>
  <c r="W17" i="5"/>
  <c r="X17" i="5"/>
  <c r="Z17" i="5"/>
  <c r="AC17" i="5"/>
  <c r="AE17" i="5"/>
  <c r="AI17" i="5"/>
  <c r="AK17" i="5"/>
  <c r="C18" i="5"/>
  <c r="D18" i="5"/>
  <c r="F18" i="5"/>
  <c r="H18" i="5"/>
  <c r="I18" i="5"/>
  <c r="K18" i="5"/>
  <c r="M18" i="5"/>
  <c r="N18" i="5"/>
  <c r="P18" i="5"/>
  <c r="R18" i="5"/>
  <c r="S18" i="5"/>
  <c r="U18" i="5"/>
  <c r="W18" i="5"/>
  <c r="X18" i="5"/>
  <c r="Z18" i="5"/>
  <c r="AC18" i="5"/>
  <c r="AE18" i="5"/>
  <c r="AI18" i="5"/>
  <c r="AK18" i="5"/>
  <c r="C19" i="5"/>
  <c r="D19" i="5"/>
  <c r="F19" i="5"/>
  <c r="H19" i="5"/>
  <c r="I19" i="5"/>
  <c r="K19" i="5"/>
  <c r="M19" i="5"/>
  <c r="N19" i="5"/>
  <c r="P19" i="5"/>
  <c r="R19" i="5"/>
  <c r="S19" i="5"/>
  <c r="U19" i="5"/>
  <c r="W19" i="5"/>
  <c r="X19" i="5"/>
  <c r="Z19" i="5"/>
  <c r="AC19" i="5"/>
  <c r="AE19" i="5"/>
  <c r="AI19" i="5"/>
  <c r="AK19" i="5"/>
  <c r="AG20" i="5"/>
  <c r="AH20" i="5"/>
  <c r="AJ20" i="5"/>
  <c r="AK20" i="5" s="1"/>
  <c r="N10" i="2"/>
  <c r="P10" i="2"/>
  <c r="AB10" i="2"/>
  <c r="AD10" i="2"/>
  <c r="AP10" i="2"/>
  <c r="AR10" i="2"/>
  <c r="AW10" i="2"/>
  <c r="AY10" i="2"/>
  <c r="BD10" i="2"/>
  <c r="BF10" i="2"/>
  <c r="BK10" i="2"/>
  <c r="BM10" i="2"/>
  <c r="A11" i="2"/>
  <c r="A12" i="2" s="1"/>
  <c r="A13" i="2" s="1"/>
  <c r="A14" i="2" s="1"/>
  <c r="A15" i="2" s="1"/>
  <c r="A16" i="2" s="1"/>
  <c r="A17" i="2" s="1"/>
  <c r="A18" i="2" s="1"/>
  <c r="N11" i="2"/>
  <c r="P11" i="2"/>
  <c r="AB11" i="2"/>
  <c r="AP11" i="2"/>
  <c r="AR11" i="2"/>
  <c r="AW11" i="2"/>
  <c r="AY11" i="2"/>
  <c r="BD11" i="2"/>
  <c r="BF11" i="2"/>
  <c r="BK11" i="2"/>
  <c r="BM11" i="2"/>
  <c r="N12" i="2"/>
  <c r="P12" i="2"/>
  <c r="AB12" i="2"/>
  <c r="AP12" i="2"/>
  <c r="AR12" i="2"/>
  <c r="AW12" i="2"/>
  <c r="AY12" i="2"/>
  <c r="BD12" i="2"/>
  <c r="BF12" i="2"/>
  <c r="BK12" i="2"/>
  <c r="BM12" i="2"/>
  <c r="AB13" i="2"/>
  <c r="AP13" i="2"/>
  <c r="AR13" i="2"/>
  <c r="AW13" i="2"/>
  <c r="AY13" i="2"/>
  <c r="BD13" i="2"/>
  <c r="BF13" i="2"/>
  <c r="BK13" i="2"/>
  <c r="BM13" i="2"/>
  <c r="N14" i="2"/>
  <c r="P14" i="2"/>
  <c r="AB14" i="2"/>
  <c r="AP14" i="2"/>
  <c r="AR14" i="2"/>
  <c r="AW14" i="2"/>
  <c r="AY14" i="2"/>
  <c r="BD14" i="2"/>
  <c r="BF14" i="2"/>
  <c r="BK14" i="2"/>
  <c r="BM14" i="2"/>
  <c r="N15" i="2"/>
  <c r="P15" i="2"/>
  <c r="AB15" i="2"/>
  <c r="AP15" i="2"/>
  <c r="AR15" i="2"/>
  <c r="AW15" i="2"/>
  <c r="AY15" i="2"/>
  <c r="BD15" i="2"/>
  <c r="BF15" i="2"/>
  <c r="BK15" i="2"/>
  <c r="BM15" i="2"/>
  <c r="N16" i="2"/>
  <c r="P16" i="2"/>
  <c r="AB16" i="2"/>
  <c r="AP16" i="2"/>
  <c r="AR16" i="2"/>
  <c r="AW16" i="2"/>
  <c r="AY16" i="2"/>
  <c r="BD16" i="2"/>
  <c r="BF16" i="2"/>
  <c r="BK16" i="2"/>
  <c r="BM16" i="2"/>
  <c r="N17" i="2"/>
  <c r="P17" i="2"/>
  <c r="AB17" i="2"/>
  <c r="AP17" i="2"/>
  <c r="AR17" i="2"/>
  <c r="AW17" i="2"/>
  <c r="AY17" i="2"/>
  <c r="BD17" i="2"/>
  <c r="BF17" i="2"/>
  <c r="BK17" i="2"/>
  <c r="BM17" i="2"/>
  <c r="N18" i="2"/>
  <c r="P18" i="2"/>
  <c r="AB18" i="2"/>
  <c r="AP18" i="2"/>
  <c r="AR18" i="2"/>
  <c r="AW18" i="2"/>
  <c r="AY18" i="2"/>
  <c r="BD18" i="2"/>
  <c r="BF18" i="2"/>
  <c r="BK18" i="2"/>
  <c r="BM18" i="2"/>
  <c r="AB19" i="2"/>
  <c r="AP19" i="2"/>
  <c r="AR19" i="2"/>
  <c r="AW19" i="2"/>
  <c r="AY19" i="2"/>
  <c r="BD19" i="2"/>
  <c r="BF19" i="2"/>
  <c r="BK19" i="2"/>
  <c r="BM19" i="2"/>
  <c r="D10" i="4"/>
  <c r="E10" i="4" s="1"/>
  <c r="G10" i="4"/>
  <c r="I10" i="4"/>
  <c r="J10" i="4"/>
  <c r="L10" i="4"/>
  <c r="N10" i="4"/>
  <c r="O10" i="4" s="1"/>
  <c r="Q10" i="4"/>
  <c r="U10" i="4"/>
  <c r="W10" i="4"/>
  <c r="Z10" i="4"/>
  <c r="AH10" i="4"/>
  <c r="AI10" i="4" s="1"/>
  <c r="AK10" i="4"/>
  <c r="A11" i="4"/>
  <c r="D11" i="4"/>
  <c r="E11" i="4" s="1"/>
  <c r="G11" i="4"/>
  <c r="I11" i="4"/>
  <c r="J11" i="4" s="1"/>
  <c r="L11" i="4"/>
  <c r="N11" i="4"/>
  <c r="O11" i="4" s="1"/>
  <c r="Q11" i="4"/>
  <c r="R11" i="4"/>
  <c r="U11" i="4"/>
  <c r="W11" i="4"/>
  <c r="Z11" i="4"/>
  <c r="AH11" i="4"/>
  <c r="AI11" i="4" s="1"/>
  <c r="AK11" i="4"/>
  <c r="A12" i="4"/>
  <c r="D12" i="4"/>
  <c r="E12" i="4" s="1"/>
  <c r="G12" i="4"/>
  <c r="I12" i="4"/>
  <c r="J12" i="4" s="1"/>
  <c r="L12" i="4"/>
  <c r="N12" i="4"/>
  <c r="O12" i="4" s="1"/>
  <c r="Q12" i="4"/>
  <c r="U12" i="4"/>
  <c r="W12" i="4"/>
  <c r="Z12" i="4"/>
  <c r="AH12" i="4"/>
  <c r="AI12" i="4" s="1"/>
  <c r="AK12" i="4"/>
  <c r="A13" i="4"/>
  <c r="D13" i="4"/>
  <c r="E13" i="4" s="1"/>
  <c r="G13" i="4"/>
  <c r="I13" i="4"/>
  <c r="J13" i="4"/>
  <c r="L13" i="4"/>
  <c r="N13" i="4"/>
  <c r="O13" i="4" s="1"/>
  <c r="Q13" i="4"/>
  <c r="U13" i="4"/>
  <c r="W13" i="4"/>
  <c r="Z13" i="4"/>
  <c r="AH13" i="4"/>
  <c r="AI13" i="4" s="1"/>
  <c r="AK13" i="4"/>
  <c r="A14" i="4"/>
  <c r="D14" i="4"/>
  <c r="E14" i="4" s="1"/>
  <c r="G14" i="4"/>
  <c r="I14" i="4"/>
  <c r="J14" i="4" s="1"/>
  <c r="L14" i="4"/>
  <c r="N14" i="4"/>
  <c r="O14" i="4" s="1"/>
  <c r="Q14" i="4"/>
  <c r="R14" i="4"/>
  <c r="U14" i="4"/>
  <c r="W14" i="4"/>
  <c r="Z14" i="4"/>
  <c r="AH14" i="4"/>
  <c r="AI14" i="4"/>
  <c r="AK14" i="4"/>
  <c r="A15" i="4"/>
  <c r="A16" i="4" s="1"/>
  <c r="A17" i="4" s="1"/>
  <c r="A18" i="4" s="1"/>
  <c r="D15" i="4"/>
  <c r="E15" i="4"/>
  <c r="G15" i="4"/>
  <c r="I15" i="4"/>
  <c r="J15" i="4" s="1"/>
  <c r="L15" i="4"/>
  <c r="N15" i="4"/>
  <c r="O15" i="4" s="1"/>
  <c r="Q15" i="4"/>
  <c r="R15" i="4"/>
  <c r="U15" i="4"/>
  <c r="W15" i="4"/>
  <c r="Z15" i="4"/>
  <c r="AH15" i="4"/>
  <c r="AI15" i="4" s="1"/>
  <c r="AK15" i="4"/>
  <c r="D16" i="4"/>
  <c r="E16" i="4" s="1"/>
  <c r="G16" i="4"/>
  <c r="I16" i="4"/>
  <c r="J16" i="4"/>
  <c r="L16" i="4"/>
  <c r="N16" i="4"/>
  <c r="O16" i="4" s="1"/>
  <c r="Q16" i="4"/>
  <c r="R16" i="4"/>
  <c r="U16" i="4"/>
  <c r="W16" i="4"/>
  <c r="Z16" i="4"/>
  <c r="AH16" i="4"/>
  <c r="AI16" i="4" s="1"/>
  <c r="AK16" i="4"/>
  <c r="D17" i="4"/>
  <c r="E17" i="4"/>
  <c r="G17" i="4"/>
  <c r="I17" i="4"/>
  <c r="J17" i="4" s="1"/>
  <c r="L17" i="4"/>
  <c r="N17" i="4"/>
  <c r="O17" i="4" s="1"/>
  <c r="Q17" i="4"/>
  <c r="R17" i="4"/>
  <c r="U17" i="4"/>
  <c r="W17" i="4"/>
  <c r="Z17" i="4"/>
  <c r="AH17" i="4"/>
  <c r="AI17" i="4" s="1"/>
  <c r="AK17" i="4"/>
  <c r="D18" i="4"/>
  <c r="E18" i="4" s="1"/>
  <c r="G18" i="4"/>
  <c r="I18" i="4"/>
  <c r="J18" i="4"/>
  <c r="L18" i="4"/>
  <c r="N18" i="4"/>
  <c r="O18" i="4" s="1"/>
  <c r="Q18" i="4"/>
  <c r="U18" i="4"/>
  <c r="W18" i="4"/>
  <c r="Z18" i="4"/>
  <c r="AH18" i="4"/>
  <c r="AI18" i="4" s="1"/>
  <c r="AK18" i="4"/>
  <c r="C19" i="4"/>
  <c r="D19" i="4"/>
  <c r="E19" i="4" s="1"/>
  <c r="F19" i="4"/>
  <c r="G19" i="4" s="1"/>
  <c r="H19" i="4"/>
  <c r="K19" i="4"/>
  <c r="L19" i="4"/>
  <c r="M19" i="4"/>
  <c r="N19" i="4"/>
  <c r="O19" i="4" s="1"/>
  <c r="P19" i="4"/>
  <c r="Q19" i="4" s="1"/>
  <c r="AG19" i="4"/>
  <c r="AJ19" i="4"/>
  <c r="AK19" i="4"/>
  <c r="D68" i="1"/>
  <c r="G68" i="1"/>
  <c r="J68" i="1"/>
  <c r="M68" i="1"/>
  <c r="P68" i="1"/>
  <c r="S68" i="1"/>
  <c r="W59" i="1"/>
  <c r="AE16" i="2"/>
  <c r="AI16" i="2" s="1"/>
  <c r="M17" i="5"/>
  <c r="AE14" i="2"/>
  <c r="AF14" i="2" s="1"/>
  <c r="AG14" i="2" s="1"/>
  <c r="M15" i="5"/>
  <c r="M13" i="5"/>
  <c r="AE10" i="2"/>
  <c r="AI10" i="2" s="1"/>
  <c r="M11" i="5"/>
  <c r="U19" i="2"/>
  <c r="AA15" i="5" l="1"/>
  <c r="Q14" i="5"/>
  <c r="G13" i="5"/>
  <c r="G18" i="5"/>
  <c r="AA13" i="5"/>
  <c r="AA18" i="5"/>
  <c r="G16" i="5"/>
  <c r="W30" i="1"/>
  <c r="G19" i="5"/>
  <c r="AA14" i="5"/>
  <c r="Q19" i="5"/>
  <c r="AA17" i="5"/>
  <c r="W31" i="1"/>
  <c r="W37" i="1"/>
  <c r="W32" i="1"/>
  <c r="V52" i="1"/>
  <c r="W52" i="1"/>
  <c r="V48" i="1"/>
  <c r="V33" i="1"/>
  <c r="V35" i="1"/>
  <c r="W33" i="1"/>
  <c r="W35" i="1"/>
  <c r="V37" i="1"/>
  <c r="AA19" i="5"/>
  <c r="AA16" i="5"/>
  <c r="G14" i="5"/>
  <c r="G11" i="5"/>
  <c r="V36" i="1"/>
  <c r="V50" i="1"/>
  <c r="Q18" i="5"/>
  <c r="V17" i="5"/>
  <c r="G17" i="5"/>
  <c r="W36" i="1"/>
  <c r="V49" i="1"/>
  <c r="V51" i="1"/>
  <c r="W50" i="1"/>
  <c r="AA12" i="5"/>
  <c r="L12" i="5"/>
  <c r="V31" i="1"/>
  <c r="V32" i="1"/>
  <c r="W49" i="1"/>
  <c r="W51" i="1"/>
  <c r="G39" i="1"/>
  <c r="J39" i="1"/>
  <c r="S39" i="1"/>
  <c r="G18" i="2"/>
  <c r="AF18" i="2"/>
  <c r="AG18" i="2" s="1"/>
  <c r="AD11" i="2"/>
  <c r="E39" i="1"/>
  <c r="H39" i="1"/>
  <c r="K39" i="1"/>
  <c r="T39" i="1"/>
  <c r="AT19" i="2"/>
  <c r="AU19" i="2" s="1"/>
  <c r="CH19" i="2"/>
  <c r="AI20" i="5"/>
  <c r="R19" i="2"/>
  <c r="S19" i="2" s="1"/>
  <c r="BH19" i="2"/>
  <c r="BI19" i="2" s="1"/>
  <c r="BO19" i="2"/>
  <c r="BP19" i="2" s="1"/>
  <c r="CV19" i="2"/>
  <c r="L20" i="6"/>
  <c r="G14" i="2"/>
  <c r="AA18" i="4"/>
  <c r="X15" i="4"/>
  <c r="Y15" i="4" s="1"/>
  <c r="S15" i="4"/>
  <c r="T15" i="4" s="1"/>
  <c r="X14" i="4"/>
  <c r="Y14" i="4" s="1"/>
  <c r="X13" i="4"/>
  <c r="Y13" i="4" s="1"/>
  <c r="AK18" i="2"/>
  <c r="AD17" i="2"/>
  <c r="Y17" i="5"/>
  <c r="X12" i="4"/>
  <c r="Y12" i="4" s="1"/>
  <c r="I17" i="2"/>
  <c r="I11" i="2"/>
  <c r="AA10" i="4"/>
  <c r="Z39" i="1"/>
  <c r="G13" i="2"/>
  <c r="J18" i="5"/>
  <c r="T11" i="5"/>
  <c r="G12" i="2"/>
  <c r="G16" i="2"/>
  <c r="AC19" i="2"/>
  <c r="AD19" i="2" s="1"/>
  <c r="AD13" i="2"/>
  <c r="Y15" i="5"/>
  <c r="J12" i="5"/>
  <c r="E12" i="5"/>
  <c r="Y11" i="5"/>
  <c r="D11" i="2"/>
  <c r="E11" i="2" s="1"/>
  <c r="G15" i="2"/>
  <c r="D17" i="2"/>
  <c r="E17" i="2" s="1"/>
  <c r="K20" i="5"/>
  <c r="N13" i="2"/>
  <c r="E19" i="5"/>
  <c r="O18" i="5"/>
  <c r="J16" i="5"/>
  <c r="Y14" i="5"/>
  <c r="Y13" i="5"/>
  <c r="D20" i="5"/>
  <c r="D12" i="2"/>
  <c r="E12" i="2" s="1"/>
  <c r="D14" i="2"/>
  <c r="E14" i="2" s="1"/>
  <c r="D16" i="2"/>
  <c r="E16" i="2" s="1"/>
  <c r="D18" i="2"/>
  <c r="E18" i="2" s="1"/>
  <c r="Q15" i="5"/>
  <c r="Q17" i="5"/>
  <c r="C19" i="2"/>
  <c r="I19" i="2" s="1"/>
  <c r="F20" i="5"/>
  <c r="W68" i="1"/>
  <c r="AD15" i="2"/>
  <c r="Y18" i="5"/>
  <c r="T18" i="5"/>
  <c r="E18" i="5"/>
  <c r="T17" i="5"/>
  <c r="E17" i="5"/>
  <c r="E16" i="5"/>
  <c r="E15" i="5"/>
  <c r="O14" i="5"/>
  <c r="J13" i="5"/>
  <c r="E13" i="5"/>
  <c r="Y12" i="5"/>
  <c r="T12" i="5"/>
  <c r="E11" i="5"/>
  <c r="Z28" i="1"/>
  <c r="AC20" i="5"/>
  <c r="Z19" i="4"/>
  <c r="X11" i="4"/>
  <c r="Y11" i="4" s="1"/>
  <c r="AF12" i="2"/>
  <c r="AG12" i="2" s="1"/>
  <c r="Q11" i="5"/>
  <c r="Q13" i="5"/>
  <c r="I13" i="2"/>
  <c r="D15" i="2"/>
  <c r="E15" i="2" s="1"/>
  <c r="G10" i="2"/>
  <c r="K13" i="2"/>
  <c r="L13" i="2" s="1"/>
  <c r="I10" i="2"/>
  <c r="AD18" i="2"/>
  <c r="AD16" i="2"/>
  <c r="AD14" i="2"/>
  <c r="P13" i="2"/>
  <c r="AD12" i="2"/>
  <c r="Q39" i="1"/>
  <c r="M39" i="1"/>
  <c r="V34" i="1"/>
  <c r="V38" i="1"/>
  <c r="V44" i="1"/>
  <c r="X16" i="4"/>
  <c r="Y16" i="4" s="1"/>
  <c r="AI14" i="2"/>
  <c r="O17" i="5"/>
  <c r="AK10" i="2"/>
  <c r="AB13" i="5"/>
  <c r="N39" i="1"/>
  <c r="V47" i="1"/>
  <c r="V45" i="1"/>
  <c r="V46" i="1"/>
  <c r="AB19" i="5"/>
  <c r="AF19" i="5" s="1"/>
  <c r="D39" i="1"/>
  <c r="V30" i="1"/>
  <c r="AF10" i="2"/>
  <c r="AG10" i="2" s="1"/>
  <c r="T16" i="5"/>
  <c r="AE13" i="4"/>
  <c r="AE11" i="4"/>
  <c r="AE12" i="4"/>
  <c r="J14" i="5"/>
  <c r="AK16" i="2"/>
  <c r="AE17" i="4"/>
  <c r="V15" i="4"/>
  <c r="AA14" i="4"/>
  <c r="P39" i="1"/>
  <c r="W34" i="1"/>
  <c r="W38" i="1"/>
  <c r="W45" i="1"/>
  <c r="AE10" i="4"/>
  <c r="U20" i="5"/>
  <c r="I20" i="5"/>
  <c r="V16" i="5"/>
  <c r="AE15" i="4"/>
  <c r="AF17" i="2"/>
  <c r="AG17" i="2" s="1"/>
  <c r="AK17" i="2"/>
  <c r="AI17" i="2"/>
  <c r="AE18" i="4"/>
  <c r="V12" i="5"/>
  <c r="O13" i="5"/>
  <c r="AF16" i="2"/>
  <c r="AG16" i="2" s="1"/>
  <c r="V17" i="4"/>
  <c r="AA16" i="4"/>
  <c r="AA11" i="4"/>
  <c r="L19" i="5"/>
  <c r="L14" i="5"/>
  <c r="T13" i="5"/>
  <c r="Z53" i="1"/>
  <c r="T53" i="1"/>
  <c r="AK14" i="2"/>
  <c r="S17" i="4"/>
  <c r="T17" i="4" s="1"/>
  <c r="AF13" i="2"/>
  <c r="AG13" i="2" s="1"/>
  <c r="AK13" i="2"/>
  <c r="X17" i="4"/>
  <c r="Y17" i="4" s="1"/>
  <c r="AE16" i="4"/>
  <c r="AA15" i="4"/>
  <c r="AA13" i="4"/>
  <c r="AA12" i="4"/>
  <c r="Y19" i="5"/>
  <c r="O19" i="5"/>
  <c r="L18" i="5"/>
  <c r="V15" i="5"/>
  <c r="L13" i="5"/>
  <c r="J11" i="5"/>
  <c r="Z17" i="1"/>
  <c r="W47" i="1"/>
  <c r="G53" i="1"/>
  <c r="Q53" i="1"/>
  <c r="S53" i="1"/>
  <c r="W46" i="1"/>
  <c r="AE14" i="4"/>
  <c r="T15" i="5"/>
  <c r="W17" i="1"/>
  <c r="W28" i="1"/>
  <c r="P19" i="2"/>
  <c r="K19" i="2"/>
  <c r="L19" i="2" s="1"/>
  <c r="N19" i="2"/>
  <c r="X18" i="4"/>
  <c r="Y18" i="4" s="1"/>
  <c r="AA17" i="4"/>
  <c r="W19" i="4"/>
  <c r="V18" i="5"/>
  <c r="N20" i="5"/>
  <c r="X20" i="5"/>
  <c r="C20" i="5"/>
  <c r="X10" i="4"/>
  <c r="Y10" i="4" s="1"/>
  <c r="J19" i="5"/>
  <c r="L17" i="5"/>
  <c r="Y16" i="5"/>
  <c r="L16" i="5"/>
  <c r="L15" i="5"/>
  <c r="V14" i="5"/>
  <c r="H20" i="5"/>
  <c r="E14" i="5"/>
  <c r="AE20" i="5"/>
  <c r="S20" i="5"/>
  <c r="V11" i="5"/>
  <c r="Z68" i="1"/>
  <c r="V14" i="4"/>
  <c r="S14" i="4"/>
  <c r="T14" i="4" s="1"/>
  <c r="O15" i="5"/>
  <c r="AI12" i="2"/>
  <c r="O11" i="5"/>
  <c r="V16" i="4"/>
  <c r="S16" i="4"/>
  <c r="T16" i="4" s="1"/>
  <c r="V11" i="4"/>
  <c r="S11" i="4"/>
  <c r="T11" i="4" s="1"/>
  <c r="U19" i="4"/>
  <c r="V19" i="5"/>
  <c r="T19" i="5"/>
  <c r="AM19" i="4"/>
  <c r="AN19" i="4" s="1"/>
  <c r="AE11" i="2"/>
  <c r="M12" i="5"/>
  <c r="AR19" i="4"/>
  <c r="AS19" i="4" s="1"/>
  <c r="CM19" i="2"/>
  <c r="CJ19" i="2"/>
  <c r="CK19" i="2" s="1"/>
  <c r="DA19" i="2"/>
  <c r="CX19" i="2"/>
  <c r="CY19" i="2" s="1"/>
  <c r="BQ19" i="4"/>
  <c r="BR19" i="4" s="1"/>
  <c r="BR10" i="4"/>
  <c r="D53" i="1"/>
  <c r="W44" i="1"/>
  <c r="K53" i="1"/>
  <c r="N53" i="1"/>
  <c r="W48" i="1"/>
  <c r="E53" i="1"/>
  <c r="J15" i="5"/>
  <c r="J17" i="5"/>
  <c r="Z20" i="5"/>
  <c r="R20" i="5"/>
  <c r="T14" i="5"/>
  <c r="V13" i="5"/>
  <c r="AH19" i="4"/>
  <c r="AI19" i="4" s="1"/>
  <c r="I19" i="4"/>
  <c r="J19" i="4" s="1"/>
  <c r="R18" i="4"/>
  <c r="S18" i="4" s="1"/>
  <c r="T18" i="4" s="1"/>
  <c r="R13" i="4"/>
  <c r="S13" i="4" s="1"/>
  <c r="T13" i="4" s="1"/>
  <c r="R12" i="4"/>
  <c r="S12" i="4" s="1"/>
  <c r="T12" i="4" s="1"/>
  <c r="R10" i="4"/>
  <c r="V10" i="4" s="1"/>
  <c r="AI13" i="2"/>
  <c r="P20" i="5"/>
  <c r="W20" i="5"/>
  <c r="AN10" i="4"/>
  <c r="AE15" i="2"/>
  <c r="M16" i="5"/>
  <c r="Q16" i="5" s="1"/>
  <c r="AM19" i="2"/>
  <c r="AN19" i="2" s="1"/>
  <c r="BA19" i="2"/>
  <c r="BB19" i="2" s="1"/>
  <c r="AS10" i="4"/>
  <c r="BH10" i="4"/>
  <c r="BG19" i="4"/>
  <c r="BH19" i="4" s="1"/>
  <c r="CF19" i="2"/>
  <c r="BB19" i="4"/>
  <c r="BC19" i="4" s="1"/>
  <c r="CT19" i="2"/>
  <c r="BL19" i="4"/>
  <c r="BM19" i="4" s="1"/>
  <c r="BM11" i="4"/>
  <c r="AI20" i="6"/>
  <c r="H53" i="1"/>
  <c r="J53" i="1"/>
  <c r="M53" i="1"/>
  <c r="P53" i="1"/>
  <c r="G19" i="2" l="1"/>
  <c r="D19" i="2"/>
  <c r="E19" i="2" s="1"/>
  <c r="AB12" i="4"/>
  <c r="AC12" i="4" s="1"/>
  <c r="AD12" i="4" s="1"/>
  <c r="Y19" i="2"/>
  <c r="Z19" i="2" s="1"/>
  <c r="AB18" i="4"/>
  <c r="AF18" i="4" s="1"/>
  <c r="G20" i="5"/>
  <c r="AA19" i="4"/>
  <c r="V39" i="1"/>
  <c r="Y20" i="5"/>
  <c r="V53" i="1"/>
  <c r="V20" i="5"/>
  <c r="AB11" i="5"/>
  <c r="AB10" i="4"/>
  <c r="W39" i="1"/>
  <c r="AB16" i="5"/>
  <c r="AB15" i="4"/>
  <c r="O16" i="5"/>
  <c r="J20" i="5"/>
  <c r="L20" i="5"/>
  <c r="E20" i="5"/>
  <c r="AD19" i="5"/>
  <c r="X19" i="4"/>
  <c r="Y19" i="4" s="1"/>
  <c r="AI15" i="2"/>
  <c r="AF15" i="2"/>
  <c r="AG15" i="2" s="1"/>
  <c r="AK15" i="2"/>
  <c r="AB13" i="4"/>
  <c r="AB14" i="5"/>
  <c r="AB17" i="5"/>
  <c r="AB16" i="4"/>
  <c r="Q12" i="5"/>
  <c r="O12" i="5"/>
  <c r="T20" i="5"/>
  <c r="AD13" i="5"/>
  <c r="AF13" i="5"/>
  <c r="V18" i="4"/>
  <c r="V12" i="4"/>
  <c r="AB15" i="5"/>
  <c r="AB14" i="4"/>
  <c r="AC14" i="4" s="1"/>
  <c r="AD14" i="4" s="1"/>
  <c r="AB18" i="5"/>
  <c r="AB17" i="4"/>
  <c r="R19" i="4"/>
  <c r="V19" i="4" s="1"/>
  <c r="S10" i="4"/>
  <c r="AA20" i="5"/>
  <c r="W53" i="1"/>
  <c r="AF11" i="2"/>
  <c r="AG11" i="2" s="1"/>
  <c r="AI11" i="2"/>
  <c r="AE19" i="2"/>
  <c r="AK11" i="2"/>
  <c r="AB12" i="5"/>
  <c r="AB11" i="4"/>
  <c r="AE19" i="4"/>
  <c r="M20" i="5"/>
  <c r="O20" i="5" s="1"/>
  <c r="V13" i="4"/>
  <c r="AF12" i="4" l="1"/>
  <c r="AC18" i="4"/>
  <c r="AD18" i="4" s="1"/>
  <c r="AF11" i="5"/>
  <c r="AD11" i="5"/>
  <c r="AF10" i="4"/>
  <c r="AC10" i="4"/>
  <c r="AD10" i="4" s="1"/>
  <c r="AF16" i="5"/>
  <c r="AD16" i="5"/>
  <c r="AC15" i="4"/>
  <c r="AD15" i="4" s="1"/>
  <c r="AF15" i="4"/>
  <c r="AD12" i="5"/>
  <c r="AB20" i="5"/>
  <c r="AF12" i="5"/>
  <c r="AK19" i="2"/>
  <c r="AF19" i="2"/>
  <c r="AG19" i="2" s="1"/>
  <c r="AI19" i="2"/>
  <c r="T10" i="4"/>
  <c r="S19" i="4"/>
  <c r="T19" i="4" s="1"/>
  <c r="Q20" i="5"/>
  <c r="AD18" i="5"/>
  <c r="AF18" i="5"/>
  <c r="AD15" i="5"/>
  <c r="AF15" i="5"/>
  <c r="AF17" i="5"/>
  <c r="AD17" i="5"/>
  <c r="AC13" i="4"/>
  <c r="AD13" i="4" s="1"/>
  <c r="AF13" i="4"/>
  <c r="AB19" i="4"/>
  <c r="AF19" i="4" s="1"/>
  <c r="AC11" i="4"/>
  <c r="AF11" i="4"/>
  <c r="AC17" i="4"/>
  <c r="AD17" i="4" s="1"/>
  <c r="AF17" i="4"/>
  <c r="AF14" i="4"/>
  <c r="AC16" i="4"/>
  <c r="AD16" i="4" s="1"/>
  <c r="AF16" i="4"/>
  <c r="AD14" i="5"/>
  <c r="AF14" i="5"/>
  <c r="AD11" i="4" l="1"/>
  <c r="AC19" i="4"/>
  <c r="AD19" i="4" s="1"/>
  <c r="AF20" i="5"/>
  <c r="AD20" i="5"/>
</calcChain>
</file>

<file path=xl/sharedStrings.xml><?xml version="1.0" encoding="utf-8"?>
<sst xmlns="http://schemas.openxmlformats.org/spreadsheetml/2006/main" count="767" uniqueCount="117">
  <si>
    <t>Schuljahr</t>
  </si>
  <si>
    <t>5. Jahrgang</t>
  </si>
  <si>
    <t>6. Jahrgang</t>
  </si>
  <si>
    <t>7. Jahrgang</t>
  </si>
  <si>
    <t>8. Jahrgang</t>
  </si>
  <si>
    <t>9. Jahrgang</t>
  </si>
  <si>
    <t>10. Jahrgang</t>
  </si>
  <si>
    <t>Kl.</t>
  </si>
  <si>
    <t>Sch.</t>
  </si>
  <si>
    <t xml:space="preserve"> Kl.</t>
  </si>
  <si>
    <t>Erich-Klausener-Schule</t>
  </si>
  <si>
    <t>Fürstin-von-Gallitzin-Schule</t>
  </si>
  <si>
    <t>Karl-Wagenfeld-Schule</t>
  </si>
  <si>
    <t>Johannes-Gutenberg-Realschule Hiltrup</t>
  </si>
  <si>
    <t>Realschule im Kreuzviertel</t>
  </si>
  <si>
    <t>Geschwister-Scholl-Realschule</t>
  </si>
  <si>
    <t>Realschule Roxel</t>
  </si>
  <si>
    <t>Realschule Wolbeck</t>
  </si>
  <si>
    <t>2001/2002</t>
  </si>
  <si>
    <t>2002/2003</t>
  </si>
  <si>
    <t>Paul-Gerhardt-Realschule</t>
  </si>
  <si>
    <t>Joh.-Gutenberg-Realschule Hiltrup</t>
  </si>
  <si>
    <t>Geschw.-Scholl-Realschule</t>
  </si>
  <si>
    <t>2003/2004</t>
  </si>
  <si>
    <t>2004/2005</t>
  </si>
  <si>
    <t>1995/1996</t>
  </si>
  <si>
    <t>2005/2006</t>
  </si>
  <si>
    <t>Lfd.
Nr.</t>
  </si>
  <si>
    <t>Schule</t>
  </si>
  <si>
    <t>gesamt</t>
  </si>
  <si>
    <t>Gesamt</t>
  </si>
  <si>
    <t xml:space="preserve">Realschulen in Münster </t>
  </si>
  <si>
    <t>Schülerinnen und Schüler</t>
  </si>
  <si>
    <t>Realschulen gesamt</t>
  </si>
  <si>
    <t>davon
Ausländer</t>
  </si>
  <si>
    <t>Anzahl</t>
  </si>
  <si>
    <t>%</t>
  </si>
  <si>
    <r>
      <t xml:space="preserve">1999/2000 </t>
    </r>
    <r>
      <rPr>
        <b/>
        <vertAlign val="superscript"/>
        <sz val="10"/>
        <rFont val="Arial"/>
        <family val="2"/>
      </rPr>
      <t>1)</t>
    </r>
  </si>
  <si>
    <t>1) Die Daten wurden vor diesem Zeitpunkt nicht gesondert erhoben.</t>
  </si>
  <si>
    <t>2006/2007</t>
  </si>
  <si>
    <t>davon
Aussiedler</t>
  </si>
  <si>
    <t>Entwicklung der Schülerzahlen 1995/1996 - 2006/2007 nach Herkunft</t>
  </si>
  <si>
    <t>1996/1997</t>
  </si>
  <si>
    <t>w.</t>
  </si>
  <si>
    <t>2007/2008</t>
  </si>
  <si>
    <t>Aussiedler</t>
  </si>
  <si>
    <t>Ausländer</t>
  </si>
  <si>
    <t>Paul-Gerhardt-Realschule
Ganztagsschule in Angebotsform</t>
  </si>
  <si>
    <t>Entwicklung der Schülerzahlen nach Geschlecht</t>
  </si>
  <si>
    <t xml:space="preserve">davon </t>
  </si>
  <si>
    <t>männlich</t>
  </si>
  <si>
    <t>weiblich</t>
  </si>
  <si>
    <t>Deutsche</t>
  </si>
  <si>
    <t>1997/1998</t>
  </si>
  <si>
    <t>Entwicklung der Schülerzahlen nach Herkunft</t>
  </si>
  <si>
    <t>2008/2009</t>
  </si>
  <si>
    <t>2009/2010</t>
  </si>
  <si>
    <t>2010/2011</t>
  </si>
  <si>
    <r>
      <t xml:space="preserve">Erich-Klausener-Schule </t>
    </r>
    <r>
      <rPr>
        <vertAlign val="superscript"/>
        <sz val="12"/>
        <rFont val="Arial"/>
        <family val="2"/>
      </rPr>
      <t>1)</t>
    </r>
  </si>
  <si>
    <r>
      <t>1)</t>
    </r>
    <r>
      <rPr>
        <sz val="12"/>
        <rFont val="Arial"/>
        <family val="2"/>
      </rPr>
      <t xml:space="preserve"> Integrationsklassen im 5. und 6. JG</t>
    </r>
  </si>
  <si>
    <t>2011/2012</t>
  </si>
  <si>
    <t>Gemeinsamer Unterricht - Integrative Lerngruppen</t>
  </si>
  <si>
    <t>davon
im Gemeinsamen Unterricht</t>
  </si>
  <si>
    <t xml:space="preserve">davon
in Integrativen Lerngruppen </t>
  </si>
  <si>
    <t>davon Schwerst. und schwer mehr-
fach Behinderte</t>
  </si>
  <si>
    <r>
      <t xml:space="preserve">Paul-Gerhardt-Realschule
</t>
    </r>
    <r>
      <rPr>
        <sz val="9"/>
        <rFont val="Arial"/>
        <family val="2"/>
      </rPr>
      <t>Ganztagsschule in Angebotsform</t>
    </r>
  </si>
  <si>
    <r>
      <t>Geschwister-Scholl-Realschule</t>
    </r>
    <r>
      <rPr>
        <sz val="12"/>
        <rFont val="Arial"/>
        <family val="2"/>
      </rPr>
      <t xml:space="preserve">
</t>
    </r>
    <r>
      <rPr>
        <sz val="9"/>
        <rFont val="Arial"/>
        <family val="2"/>
      </rPr>
      <t>Gebundene Ganztagsschule</t>
    </r>
  </si>
  <si>
    <t>2012/2013</t>
  </si>
  <si>
    <r>
      <t xml:space="preserve">Erich-Klausener-Schule </t>
    </r>
    <r>
      <rPr>
        <vertAlign val="superscript"/>
        <sz val="11"/>
        <rFont val="Arial"/>
        <family val="2"/>
      </rPr>
      <t>1)</t>
    </r>
  </si>
  <si>
    <r>
      <t xml:space="preserve">Fürstin-von-Gallitzin-Schule </t>
    </r>
    <r>
      <rPr>
        <vertAlign val="superscript"/>
        <sz val="11"/>
        <rFont val="Arial"/>
        <family val="2"/>
      </rPr>
      <t>2)</t>
    </r>
  </si>
  <si>
    <r>
      <t xml:space="preserve">Johannes-Gutenberg-Realschule Hiltrup </t>
    </r>
    <r>
      <rPr>
        <vertAlign val="superscript"/>
        <sz val="11"/>
        <rFont val="Arial"/>
        <family val="2"/>
      </rPr>
      <t>3)</t>
    </r>
  </si>
  <si>
    <t xml:space="preserve">Karl-Wagenfeld-Schule </t>
  </si>
  <si>
    <r>
      <t>1)</t>
    </r>
    <r>
      <rPr>
        <sz val="10"/>
        <rFont val="Arial"/>
        <family val="2"/>
      </rPr>
      <t xml:space="preserve"> Integrationsklassen im 7. und 8. Jahrgang</t>
    </r>
  </si>
  <si>
    <r>
      <t xml:space="preserve">2) </t>
    </r>
    <r>
      <rPr>
        <sz val="10"/>
        <rFont val="Arial"/>
        <family val="2"/>
      </rPr>
      <t>Integrationsklassen vom 5. - 7 . Jahrgang</t>
    </r>
  </si>
  <si>
    <r>
      <t>3)</t>
    </r>
    <r>
      <rPr>
        <sz val="10"/>
        <rFont val="Arial"/>
        <family val="2"/>
      </rPr>
      <t xml:space="preserve"> Integrationsklassen im 5. Jahrgang</t>
    </r>
  </si>
  <si>
    <r>
      <t xml:space="preserve">Realschule Wolbeck </t>
    </r>
    <r>
      <rPr>
        <vertAlign val="superscript"/>
        <sz val="11"/>
        <rFont val="Arial"/>
        <family val="2"/>
      </rPr>
      <t>4)</t>
    </r>
  </si>
  <si>
    <r>
      <t xml:space="preserve">Geschwister-Scholl-Realschule </t>
    </r>
    <r>
      <rPr>
        <vertAlign val="superscript"/>
        <sz val="11"/>
        <rFont val="Arial"/>
        <family val="2"/>
      </rPr>
      <t>2)</t>
    </r>
    <r>
      <rPr>
        <sz val="11"/>
        <rFont val="Arial"/>
        <family val="2"/>
      </rPr>
      <t xml:space="preserve">
Gebundene Ganztagsschule</t>
    </r>
  </si>
  <si>
    <t>2013/2014</t>
  </si>
  <si>
    <t>lt. ASD GU und ILG mit 12 Schülern angegeben</t>
  </si>
  <si>
    <r>
      <t xml:space="preserve">2) </t>
    </r>
    <r>
      <rPr>
        <sz val="10"/>
        <rFont val="Arial"/>
        <family val="2"/>
      </rPr>
      <t>Integrationsklassen vom 5. - 8 . Jahrgang</t>
    </r>
  </si>
  <si>
    <r>
      <t>4)</t>
    </r>
    <r>
      <rPr>
        <sz val="10"/>
        <rFont val="Arial"/>
        <family val="2"/>
      </rPr>
      <t xml:space="preserve"> Integrationsklassen im 5. und 6. Jahrgang</t>
    </r>
  </si>
  <si>
    <r>
      <t xml:space="preserve">3) </t>
    </r>
    <r>
      <rPr>
        <sz val="10"/>
        <rFont val="Arial"/>
        <family val="2"/>
      </rPr>
      <t>Integrationsklassen in allen Jahrgängen</t>
    </r>
  </si>
  <si>
    <r>
      <t>Geschwister-Scholl-Realschule 
Gebundene Ganztagsschule</t>
    </r>
    <r>
      <rPr>
        <vertAlign val="superscript"/>
        <sz val="11"/>
        <rFont val="Arial"/>
        <family val="2"/>
      </rPr>
      <t>3)</t>
    </r>
  </si>
  <si>
    <r>
      <t xml:space="preserve">Johannes-Gutenberg-Realschule Hiltrup </t>
    </r>
    <r>
      <rPr>
        <vertAlign val="superscript"/>
        <sz val="11"/>
        <rFont val="Arial"/>
        <family val="2"/>
      </rPr>
      <t>4)</t>
    </r>
  </si>
  <si>
    <r>
      <t xml:space="preserve">Realschule Wolbeck </t>
    </r>
    <r>
      <rPr>
        <vertAlign val="superscript"/>
        <sz val="11"/>
        <rFont val="Arial"/>
        <family val="2"/>
      </rPr>
      <t>5)</t>
    </r>
  </si>
  <si>
    <r>
      <t>1)</t>
    </r>
    <r>
      <rPr>
        <sz val="10"/>
        <rFont val="Arial"/>
        <family val="2"/>
      </rPr>
      <t xml:space="preserve"> Integrationsklassen im 5., 6. und 9. Jahrgang</t>
    </r>
  </si>
  <si>
    <r>
      <t>5)</t>
    </r>
    <r>
      <rPr>
        <sz val="10"/>
        <rFont val="Arial"/>
        <family val="2"/>
      </rPr>
      <t xml:space="preserve"> Integrationsklassen im 5. und 9. Jahrgang</t>
    </r>
  </si>
  <si>
    <r>
      <t>4)</t>
    </r>
    <r>
      <rPr>
        <sz val="10"/>
        <rFont val="Arial"/>
        <family val="2"/>
      </rPr>
      <t xml:space="preserve"> Integrationsklasse im 8. Jahrgang</t>
    </r>
  </si>
  <si>
    <t>2014/2015</t>
  </si>
  <si>
    <r>
      <t>1)</t>
    </r>
    <r>
      <rPr>
        <sz val="10"/>
        <rFont val="Arial"/>
        <family val="2"/>
      </rPr>
      <t xml:space="preserve"> Die Schule wird auslaufend aufgelöst.</t>
    </r>
  </si>
  <si>
    <r>
      <t>Realschule Roxel</t>
    </r>
    <r>
      <rPr>
        <vertAlign val="superscript"/>
        <sz val="12"/>
        <rFont val="Arial"/>
        <family val="2"/>
      </rPr>
      <t>1)</t>
    </r>
  </si>
  <si>
    <r>
      <t>Paul-Gerhardt-Realschule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</t>
    </r>
    <r>
      <rPr>
        <sz val="10"/>
        <rFont val="Arial"/>
        <family val="2"/>
      </rPr>
      <t>Ganztagsschule in Angebotsform</t>
    </r>
  </si>
  <si>
    <t>Erich-Klausener-Schule: Integrationsklassen in den Jahrgängen 6, 7, 10</t>
  </si>
  <si>
    <r>
      <t>Geschwister-Scholl-Realschule</t>
    </r>
    <r>
      <rPr>
        <sz val="12"/>
        <rFont val="Arial"/>
        <family val="2"/>
      </rPr>
      <t xml:space="preserve">
</t>
    </r>
    <r>
      <rPr>
        <sz val="10"/>
        <rFont val="Arial"/>
        <family val="2"/>
      </rPr>
      <t>Gebundene Ganztagsschule</t>
    </r>
  </si>
  <si>
    <t xml:space="preserve">Geschwister-Scholl-Realschule: Integrationsklassen in allen Jahrgängen </t>
  </si>
  <si>
    <t>Karl-Wagenfeld-Schule: Integrationsklasse im Jahrgang 5</t>
  </si>
  <si>
    <t>Realschule im Kreuzviertel: Integrationsklassen im Jahrgang 6</t>
  </si>
  <si>
    <t>Realschule Roxel: Integrationsklasse im Jahrgang 8</t>
  </si>
  <si>
    <t>Realschule Wolbeck: Integrationsklasse im Jahrgang 10</t>
  </si>
  <si>
    <t>Johannes-Gutenberg-Realschule Hiltrup: Integrationsklassen in den Jahrgängen 5 - 8</t>
  </si>
  <si>
    <t>Fürstin-von-Gallitzin-Schule: Integrative Lerngruppen in den Jahrgängen 5 - 8, Integrationsklasse im Jahrgang 9</t>
  </si>
  <si>
    <t>1.7       Realschulen</t>
  </si>
  <si>
    <t>Realschule</t>
  </si>
  <si>
    <t>2015/2016</t>
  </si>
  <si>
    <t>darunter Ausländer</t>
  </si>
  <si>
    <r>
      <t>Fürstin-von-Gallitzin-Schule</t>
    </r>
    <r>
      <rPr>
        <vertAlign val="superscript"/>
        <sz val="12"/>
        <rFont val="Arial"/>
        <family val="2"/>
      </rPr>
      <t>1)</t>
    </r>
  </si>
  <si>
    <r>
      <t xml:space="preserve">Erna-de-Vries-Realschule
</t>
    </r>
    <r>
      <rPr>
        <sz val="10"/>
        <rFont val="Arial"/>
        <family val="2"/>
      </rPr>
      <t>(ehem. Karl-Wagenfeld-Schule)</t>
    </r>
  </si>
  <si>
    <t>2016/2017</t>
  </si>
  <si>
    <t>2017/2018</t>
  </si>
  <si>
    <t>2018/2019</t>
  </si>
  <si>
    <t>Erna-de-Vries-Realschule</t>
  </si>
  <si>
    <t>2019/2020</t>
  </si>
  <si>
    <r>
      <t>Geschwister-Scholl-Realschule</t>
    </r>
    <r>
      <rPr>
        <sz val="12"/>
        <rFont val="Arial"/>
        <family val="2"/>
      </rPr>
      <t xml:space="preserve">
</t>
    </r>
  </si>
  <si>
    <t>2020/2021</t>
  </si>
  <si>
    <t>2021/2022</t>
  </si>
  <si>
    <t>2022/2023</t>
  </si>
  <si>
    <t>1.7.1    Schüler/innen- und Klassenzahlen ab dem Schuljahr 2010/2011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</si>
</sst>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\ ###\ ;\-###\ ###\ ;\-\ "/>
    <numFmt numFmtId="165" formatCode="0.0"/>
  </numFmts>
  <fonts count="16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vertAlign val="superscript"/>
      <sz val="10"/>
      <name val="Arial"/>
      <family val="2"/>
    </font>
    <font>
      <sz val="9"/>
      <name val="Arial"/>
      <family val="2"/>
    </font>
    <font>
      <i/>
      <sz val="12"/>
      <name val="Arial"/>
      <family val="2"/>
    </font>
    <font>
      <vertAlign val="superscript"/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39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6" fillId="0" borderId="24" xfId="0" applyFon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2" fontId="0" fillId="0" borderId="25" xfId="0" applyNumberFormat="1" applyBorder="1" applyAlignment="1">
      <alignment horizontal="center" vertical="center" wrapText="1"/>
    </xf>
    <xf numFmtId="2" fontId="0" fillId="0" borderId="16" xfId="0" applyNumberFormat="1" applyBorder="1" applyAlignment="1">
      <alignment horizontal="center" vertical="center" wrapText="1"/>
    </xf>
    <xf numFmtId="2" fontId="0" fillId="0" borderId="26" xfId="0" applyNumberFormat="1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 wrapText="1"/>
    </xf>
    <xf numFmtId="2" fontId="0" fillId="0" borderId="18" xfId="0" applyNumberFormat="1" applyBorder="1" applyAlignment="1">
      <alignment horizontal="center" vertical="center" wrapText="1"/>
    </xf>
    <xf numFmtId="2" fontId="0" fillId="0" borderId="27" xfId="0" applyNumberFormat="1" applyBorder="1" applyAlignment="1">
      <alignment horizontal="center" vertical="center" wrapText="1"/>
    </xf>
    <xf numFmtId="2" fontId="0" fillId="0" borderId="17" xfId="0" applyNumberFormat="1" applyBorder="1" applyAlignment="1">
      <alignment horizontal="center" vertical="center" wrapText="1"/>
    </xf>
    <xf numFmtId="2" fontId="0" fillId="0" borderId="28" xfId="0" applyNumberFormat="1" applyBorder="1" applyAlignment="1">
      <alignment horizontal="center" vertical="center" wrapText="1"/>
    </xf>
    <xf numFmtId="2" fontId="0" fillId="0" borderId="29" xfId="0" applyNumberFormat="1" applyBorder="1" applyAlignment="1">
      <alignment horizontal="center" vertical="center" wrapText="1"/>
    </xf>
    <xf numFmtId="2" fontId="0" fillId="0" borderId="30" xfId="0" applyNumberForma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33" xfId="0" applyFill="1" applyBorder="1" applyAlignment="1">
      <alignment horizontal="center" vertical="center" wrapText="1"/>
    </xf>
    <xf numFmtId="0" fontId="3" fillId="0" borderId="34" xfId="0" applyFont="1" applyFill="1" applyBorder="1" applyAlignment="1">
      <alignment vertical="center"/>
    </xf>
    <xf numFmtId="0" fontId="0" fillId="0" borderId="33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2" fontId="0" fillId="0" borderId="10" xfId="0" applyNumberFormat="1" applyFill="1" applyBorder="1" applyAlignment="1">
      <alignment horizontal="center" vertical="center" wrapText="1"/>
    </xf>
    <xf numFmtId="2" fontId="0" fillId="0" borderId="13" xfId="0" applyNumberFormat="1" applyFill="1" applyBorder="1" applyAlignment="1">
      <alignment horizontal="center" vertical="center" wrapText="1"/>
    </xf>
    <xf numFmtId="2" fontId="0" fillId="0" borderId="11" xfId="0" applyNumberFormat="1" applyFill="1" applyBorder="1" applyAlignment="1">
      <alignment horizontal="center" vertical="center" wrapText="1"/>
    </xf>
    <xf numFmtId="2" fontId="0" fillId="0" borderId="25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horizontal="center" vertical="center" wrapText="1"/>
    </xf>
    <xf numFmtId="2" fontId="0" fillId="0" borderId="16" xfId="0" applyNumberFormat="1" applyFill="1" applyBorder="1" applyAlignment="1">
      <alignment horizontal="center" vertical="center" wrapText="1"/>
    </xf>
    <xf numFmtId="2" fontId="0" fillId="0" borderId="18" xfId="0" applyNumberFormat="1" applyFill="1" applyBorder="1" applyAlignment="1">
      <alignment horizontal="center" vertical="center" wrapText="1"/>
    </xf>
    <xf numFmtId="2" fontId="0" fillId="0" borderId="17" xfId="0" applyNumberFormat="1" applyFill="1" applyBorder="1" applyAlignment="1">
      <alignment horizontal="center" vertical="center" wrapText="1"/>
    </xf>
    <xf numFmtId="2" fontId="0" fillId="0" borderId="29" xfId="0" applyNumberForma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0" fillId="0" borderId="3" xfId="0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center" wrapText="1"/>
    </xf>
    <xf numFmtId="2" fontId="0" fillId="0" borderId="26" xfId="0" applyNumberFormat="1" applyFill="1" applyBorder="1" applyAlignment="1">
      <alignment horizontal="center" vertical="center" wrapText="1"/>
    </xf>
    <xf numFmtId="2" fontId="0" fillId="0" borderId="27" xfId="0" applyNumberFormat="1" applyFill="1" applyBorder="1" applyAlignment="1">
      <alignment horizontal="center" vertical="center" wrapText="1"/>
    </xf>
    <xf numFmtId="2" fontId="0" fillId="0" borderId="28" xfId="0" applyNumberFormat="1" applyFill="1" applyBorder="1" applyAlignment="1">
      <alignment horizontal="center" vertical="center" wrapText="1"/>
    </xf>
    <xf numFmtId="2" fontId="0" fillId="0" borderId="30" xfId="0" applyNumberFormat="1" applyFill="1" applyBorder="1" applyAlignment="1">
      <alignment horizontal="center" vertical="center" wrapText="1"/>
    </xf>
    <xf numFmtId="3" fontId="0" fillId="0" borderId="7" xfId="0" applyNumberFormat="1" applyFill="1" applyBorder="1" applyAlignment="1">
      <alignment horizontal="left" vertical="center"/>
    </xf>
    <xf numFmtId="0" fontId="3" fillId="0" borderId="22" xfId="0" applyFont="1" applyFill="1" applyBorder="1" applyAlignment="1">
      <alignment vertical="center" wrapText="1"/>
    </xf>
    <xf numFmtId="3" fontId="0" fillId="0" borderId="7" xfId="0" applyNumberFormat="1" applyFill="1" applyBorder="1" applyAlignment="1">
      <alignment horizontal="center" vertical="center"/>
    </xf>
    <xf numFmtId="3" fontId="0" fillId="0" borderId="21" xfId="0" applyNumberFormat="1" applyFill="1" applyBorder="1" applyAlignment="1">
      <alignment horizontal="center" vertical="center"/>
    </xf>
    <xf numFmtId="4" fontId="0" fillId="0" borderId="23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2" fontId="0" fillId="0" borderId="23" xfId="0" applyNumberFormat="1" applyFill="1" applyBorder="1" applyAlignment="1">
      <alignment horizontal="center" vertical="center"/>
    </xf>
    <xf numFmtId="2" fontId="0" fillId="0" borderId="24" xfId="0" applyNumberForma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3" fontId="4" fillId="0" borderId="7" xfId="0" applyNumberFormat="1" applyFont="1" applyFill="1" applyBorder="1" applyAlignment="1">
      <alignment horizontal="left" vertical="center"/>
    </xf>
    <xf numFmtId="0" fontId="4" fillId="0" borderId="22" xfId="0" applyFont="1" applyFill="1" applyBorder="1" applyAlignment="1">
      <alignment vertical="center" wrapText="1"/>
    </xf>
    <xf numFmtId="3" fontId="4" fillId="0" borderId="7" xfId="0" applyNumberFormat="1" applyFont="1" applyFill="1" applyBorder="1" applyAlignment="1">
      <alignment horizontal="center" vertical="center"/>
    </xf>
    <xf numFmtId="3" fontId="4" fillId="0" borderId="21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3" fontId="4" fillId="0" borderId="9" xfId="0" applyNumberFormat="1" applyFont="1" applyFill="1" applyBorder="1" applyAlignment="1">
      <alignment horizontal="center" vertical="center"/>
    </xf>
    <xf numFmtId="2" fontId="4" fillId="0" borderId="23" xfId="0" applyNumberFormat="1" applyFont="1" applyFill="1" applyBorder="1" applyAlignment="1">
      <alignment horizontal="center" vertical="center"/>
    </xf>
    <xf numFmtId="2" fontId="4" fillId="0" borderId="24" xfId="0" applyNumberFormat="1" applyFont="1" applyFill="1" applyBorder="1" applyAlignment="1">
      <alignment horizontal="center" vertical="center"/>
    </xf>
    <xf numFmtId="3" fontId="4" fillId="0" borderId="7" xfId="0" applyNumberFormat="1" applyFont="1" applyBorder="1" applyAlignment="1">
      <alignment horizontal="left" vertical="center"/>
    </xf>
    <xf numFmtId="0" fontId="4" fillId="0" borderId="22" xfId="0" applyFont="1" applyBorder="1" applyAlignment="1">
      <alignment vertical="center" wrapText="1"/>
    </xf>
    <xf numFmtId="3" fontId="4" fillId="0" borderId="7" xfId="0" applyNumberFormat="1" applyFont="1" applyBorder="1" applyAlignment="1">
      <alignment horizontal="center" vertical="center"/>
    </xf>
    <xf numFmtId="3" fontId="4" fillId="0" borderId="21" xfId="0" applyNumberFormat="1" applyFont="1" applyBorder="1" applyAlignment="1">
      <alignment horizontal="center" vertical="center"/>
    </xf>
    <xf numFmtId="4" fontId="4" fillId="0" borderId="23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2" fontId="4" fillId="0" borderId="23" xfId="0" applyNumberFormat="1" applyFont="1" applyBorder="1" applyAlignment="1">
      <alignment horizontal="center" vertical="center"/>
    </xf>
    <xf numFmtId="2" fontId="4" fillId="0" borderId="24" xfId="0" applyNumberFormat="1" applyFont="1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4" fontId="0" fillId="0" borderId="45" xfId="0" applyNumberForma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3" fillId="0" borderId="10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center"/>
    </xf>
    <xf numFmtId="0" fontId="3" fillId="0" borderId="26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/>
    </xf>
    <xf numFmtId="2" fontId="0" fillId="0" borderId="5" xfId="0" applyNumberForma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  <xf numFmtId="3" fontId="0" fillId="0" borderId="6" xfId="0" applyNumberFormat="1" applyFill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2" fontId="0" fillId="0" borderId="27" xfId="0" applyNumberForma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" fontId="0" fillId="0" borderId="45" xfId="0" applyNumberFormat="1" applyFill="1" applyBorder="1" applyAlignment="1">
      <alignment horizontal="center" vertical="center"/>
    </xf>
    <xf numFmtId="1" fontId="0" fillId="0" borderId="5" xfId="0" applyNumberFormat="1" applyFill="1" applyBorder="1" applyAlignment="1">
      <alignment horizontal="center" vertical="center" wrapText="1"/>
    </xf>
    <xf numFmtId="1" fontId="0" fillId="0" borderId="6" xfId="0" applyNumberFormat="1" applyFill="1" applyBorder="1" applyAlignment="1">
      <alignment horizontal="center" vertical="center"/>
    </xf>
    <xf numFmtId="0" fontId="8" fillId="0" borderId="40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2" fillId="0" borderId="2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vertical="center" wrapText="1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0" fontId="5" fillId="0" borderId="0" xfId="0" applyFont="1" applyFill="1" applyProtection="1"/>
    <xf numFmtId="0" fontId="5" fillId="0" borderId="0" xfId="0" applyFont="1" applyFill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/>
    </xf>
    <xf numFmtId="0" fontId="2" fillId="0" borderId="5" xfId="0" applyFont="1" applyFill="1" applyBorder="1" applyAlignment="1" applyProtection="1">
      <alignment vertical="center"/>
    </xf>
    <xf numFmtId="0" fontId="2" fillId="0" borderId="18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vertical="center"/>
    </xf>
    <xf numFmtId="0" fontId="2" fillId="0" borderId="17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9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vertical="center"/>
    </xf>
    <xf numFmtId="0" fontId="5" fillId="0" borderId="9" xfId="0" applyFont="1" applyFill="1" applyBorder="1" applyAlignment="1" applyProtection="1">
      <alignment vertical="center" wrapText="1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3" fontId="5" fillId="0" borderId="9" xfId="0" applyNumberFormat="1" applyFont="1" applyFill="1" applyBorder="1" applyAlignment="1" applyProtection="1">
      <alignment horizontal="center" vertical="center"/>
    </xf>
    <xf numFmtId="0" fontId="5" fillId="0" borderId="22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vertical="center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vertical="center"/>
    </xf>
    <xf numFmtId="0" fontId="5" fillId="0" borderId="5" xfId="0" applyFont="1" applyFill="1" applyBorder="1" applyAlignment="1" applyProtection="1">
      <alignment vertical="center" wrapText="1"/>
    </xf>
    <xf numFmtId="0" fontId="5" fillId="0" borderId="16" xfId="0" applyFont="1" applyFill="1" applyBorder="1" applyAlignment="1" applyProtection="1">
      <alignment horizontal="center" vertical="center"/>
    </xf>
    <xf numFmtId="3" fontId="5" fillId="0" borderId="5" xfId="0" applyNumberFormat="1" applyFont="1" applyFill="1" applyBorder="1" applyAlignment="1" applyProtection="1">
      <alignment horizontal="center" vertical="center"/>
    </xf>
    <xf numFmtId="165" fontId="2" fillId="0" borderId="0" xfId="0" applyNumberFormat="1" applyFont="1" applyFill="1" applyProtection="1"/>
    <xf numFmtId="0" fontId="2" fillId="0" borderId="5" xfId="0" applyFont="1" applyFill="1" applyBorder="1" applyAlignment="1" applyProtection="1">
      <alignment horizontal="left" vertical="top" wrapText="1"/>
    </xf>
    <xf numFmtId="0" fontId="2" fillId="0" borderId="5" xfId="0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/>
    </xf>
    <xf numFmtId="0" fontId="2" fillId="0" borderId="14" xfId="0" applyFont="1" applyFill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center"/>
    </xf>
    <xf numFmtId="0" fontId="2" fillId="0" borderId="38" xfId="0" applyFont="1" applyFill="1" applyBorder="1" applyAlignment="1" applyProtection="1">
      <alignment horizontal="center"/>
    </xf>
    <xf numFmtId="0" fontId="2" fillId="0" borderId="2" xfId="0" applyFont="1" applyFill="1" applyBorder="1" applyProtection="1"/>
    <xf numFmtId="0" fontId="2" fillId="0" borderId="5" xfId="0" applyFont="1" applyFill="1" applyBorder="1" applyProtection="1"/>
    <xf numFmtId="0" fontId="5" fillId="0" borderId="5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2" fillId="0" borderId="16" xfId="0" applyFont="1" applyFill="1" applyBorder="1" applyAlignment="1" applyProtection="1">
      <alignment horizontal="center"/>
    </xf>
    <xf numFmtId="0" fontId="2" fillId="0" borderId="18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wrapText="1"/>
    </xf>
    <xf numFmtId="0" fontId="5" fillId="0" borderId="7" xfId="0" applyFont="1" applyFill="1" applyBorder="1" applyAlignment="1" applyProtection="1">
      <alignment horizontal="center"/>
    </xf>
    <xf numFmtId="0" fontId="5" fillId="0" borderId="9" xfId="0" applyFont="1" applyFill="1" applyBorder="1" applyAlignment="1" applyProtection="1">
      <alignment horizontal="center"/>
    </xf>
    <xf numFmtId="0" fontId="5" fillId="0" borderId="8" xfId="0" applyFont="1" applyFill="1" applyBorder="1" applyAlignment="1" applyProtection="1">
      <alignment horizontal="center"/>
    </xf>
    <xf numFmtId="3" fontId="5" fillId="0" borderId="9" xfId="0" applyNumberFormat="1" applyFont="1" applyFill="1" applyBorder="1" applyAlignment="1" applyProtection="1">
      <alignment horizontal="center"/>
    </xf>
    <xf numFmtId="0" fontId="5" fillId="0" borderId="22" xfId="0" applyFont="1" applyFill="1" applyBorder="1" applyAlignment="1" applyProtection="1">
      <alignment horizontal="center"/>
    </xf>
    <xf numFmtId="0" fontId="5" fillId="0" borderId="4" xfId="0" applyFont="1" applyFill="1" applyBorder="1" applyAlignment="1" applyProtection="1">
      <alignment horizontal="center"/>
    </xf>
    <xf numFmtId="0" fontId="2" fillId="0" borderId="19" xfId="0" applyFont="1" applyFill="1" applyBorder="1" applyAlignment="1" applyProtection="1">
      <alignment horizontal="center"/>
    </xf>
    <xf numFmtId="0" fontId="5" fillId="0" borderId="7" xfId="0" applyFont="1" applyFill="1" applyBorder="1" applyProtection="1"/>
    <xf numFmtId="0" fontId="5" fillId="0" borderId="9" xfId="0" applyFont="1" applyFill="1" applyBorder="1" applyProtection="1"/>
    <xf numFmtId="0" fontId="2" fillId="0" borderId="1" xfId="0" applyFont="1" applyFill="1" applyBorder="1" applyProtection="1"/>
    <xf numFmtId="0" fontId="2" fillId="0" borderId="4" xfId="0" applyFont="1" applyFill="1" applyBorder="1" applyProtection="1"/>
    <xf numFmtId="0" fontId="2" fillId="0" borderId="4" xfId="0" applyFont="1" applyFill="1" applyBorder="1" applyAlignment="1" applyProtection="1">
      <alignment horizontal="center"/>
    </xf>
    <xf numFmtId="0" fontId="2" fillId="0" borderId="10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/>
    </xf>
    <xf numFmtId="0" fontId="2" fillId="0" borderId="6" xfId="0" applyFont="1" applyFill="1" applyBorder="1" applyProtection="1"/>
    <xf numFmtId="0" fontId="2" fillId="0" borderId="39" xfId="0" applyFont="1" applyFill="1" applyBorder="1" applyProtection="1"/>
    <xf numFmtId="0" fontId="2" fillId="0" borderId="4" xfId="0" applyFont="1" applyFill="1" applyBorder="1" applyAlignment="1" applyProtection="1">
      <alignment wrapText="1"/>
    </xf>
    <xf numFmtId="0" fontId="5" fillId="0" borderId="9" xfId="0" applyFont="1" applyFill="1" applyBorder="1" applyAlignment="1" applyProtection="1">
      <alignment wrapText="1"/>
    </xf>
    <xf numFmtId="0" fontId="10" fillId="0" borderId="0" xfId="0" applyFont="1" applyFill="1" applyProtection="1"/>
    <xf numFmtId="0" fontId="2" fillId="0" borderId="2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23" xfId="0" applyFont="1" applyFill="1" applyBorder="1" applyProtection="1"/>
    <xf numFmtId="0" fontId="3" fillId="0" borderId="5" xfId="0" applyFont="1" applyFill="1" applyBorder="1" applyAlignment="1" applyProtection="1">
      <alignment wrapText="1"/>
    </xf>
    <xf numFmtId="0" fontId="12" fillId="0" borderId="4" xfId="0" applyFont="1" applyFill="1" applyBorder="1" applyProtection="1"/>
    <xf numFmtId="0" fontId="12" fillId="0" borderId="4" xfId="0" applyFont="1" applyFill="1" applyBorder="1" applyAlignment="1" applyProtection="1">
      <alignment wrapText="1"/>
    </xf>
    <xf numFmtId="0" fontId="12" fillId="0" borderId="39" xfId="0" applyFont="1" applyFill="1" applyBorder="1" applyProtection="1"/>
    <xf numFmtId="0" fontId="12" fillId="0" borderId="5" xfId="0" applyFont="1" applyFill="1" applyBorder="1" applyAlignment="1" applyProtection="1">
      <alignment wrapText="1"/>
    </xf>
    <xf numFmtId="0" fontId="12" fillId="0" borderId="44" xfId="0" applyFont="1" applyFill="1" applyBorder="1" applyProtection="1"/>
    <xf numFmtId="0" fontId="12" fillId="0" borderId="5" xfId="0" applyFont="1" applyFill="1" applyBorder="1" applyProtection="1"/>
    <xf numFmtId="0" fontId="12" fillId="0" borderId="14" xfId="0" applyFont="1" applyFill="1" applyBorder="1" applyProtection="1"/>
    <xf numFmtId="0" fontId="5" fillId="0" borderId="46" xfId="0" applyFont="1" applyFill="1" applyBorder="1" applyAlignment="1" applyProtection="1">
      <alignment horizontal="center"/>
    </xf>
    <xf numFmtId="0" fontId="14" fillId="0" borderId="0" xfId="0" applyFont="1" applyFill="1" applyProtection="1"/>
    <xf numFmtId="0" fontId="2" fillId="0" borderId="47" xfId="0" applyFont="1" applyFill="1" applyBorder="1" applyProtection="1"/>
    <xf numFmtId="0" fontId="5" fillId="0" borderId="0" xfId="0" applyFont="1" applyFill="1" applyAlignment="1" applyProtection="1">
      <alignment horizontal="center"/>
    </xf>
    <xf numFmtId="0" fontId="2" fillId="0" borderId="26" xfId="0" applyFont="1" applyFill="1" applyBorder="1" applyProtection="1"/>
    <xf numFmtId="0" fontId="1" fillId="0" borderId="0" xfId="0" applyFont="1" applyFill="1" applyProtection="1"/>
    <xf numFmtId="0" fontId="2" fillId="0" borderId="26" xfId="0" applyFont="1" applyFill="1" applyBorder="1" applyAlignment="1" applyProtection="1">
      <alignment vertical="center"/>
    </xf>
    <xf numFmtId="0" fontId="2" fillId="0" borderId="6" xfId="0" applyFont="1" applyFill="1" applyBorder="1" applyAlignment="1" applyProtection="1">
      <alignment vertical="center"/>
    </xf>
    <xf numFmtId="0" fontId="2" fillId="0" borderId="5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/>
    </xf>
    <xf numFmtId="164" fontId="2" fillId="0" borderId="53" xfId="0" applyNumberFormat="1" applyFont="1" applyFill="1" applyBorder="1" applyAlignment="1">
      <alignment horizontal="center" vertical="center"/>
    </xf>
    <xf numFmtId="164" fontId="2" fillId="0" borderId="54" xfId="0" applyNumberFormat="1" applyFont="1" applyFill="1" applyBorder="1" applyAlignment="1">
      <alignment horizontal="center" vertical="center"/>
    </xf>
    <xf numFmtId="164" fontId="2" fillId="0" borderId="55" xfId="0" applyNumberFormat="1" applyFont="1" applyFill="1" applyBorder="1" applyAlignment="1">
      <alignment horizontal="center" vertical="center"/>
    </xf>
    <xf numFmtId="0" fontId="5" fillId="0" borderId="53" xfId="0" applyFont="1" applyFill="1" applyBorder="1" applyAlignment="1" applyProtection="1">
      <alignment horizontal="center" vertical="center"/>
    </xf>
    <xf numFmtId="0" fontId="5" fillId="0" borderId="54" xfId="0" applyFont="1" applyFill="1" applyBorder="1" applyAlignment="1" applyProtection="1">
      <alignment horizontal="center" vertical="center"/>
    </xf>
    <xf numFmtId="0" fontId="5" fillId="0" borderId="55" xfId="0" applyFont="1" applyFill="1" applyBorder="1" applyAlignment="1" applyProtection="1">
      <alignment horizontal="center" vertical="center"/>
    </xf>
    <xf numFmtId="0" fontId="5" fillId="0" borderId="53" xfId="0" applyFont="1" applyFill="1" applyBorder="1" applyAlignment="1" applyProtection="1">
      <alignment horizontal="center"/>
    </xf>
    <xf numFmtId="0" fontId="5" fillId="0" borderId="54" xfId="0" applyFont="1" applyFill="1" applyBorder="1" applyAlignment="1" applyProtection="1">
      <alignment horizontal="center"/>
    </xf>
    <xf numFmtId="0" fontId="5" fillId="0" borderId="55" xfId="0" applyFont="1" applyFill="1" applyBorder="1" applyAlignment="1" applyProtection="1">
      <alignment horizontal="center"/>
    </xf>
    <xf numFmtId="0" fontId="8" fillId="0" borderId="50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3" fontId="8" fillId="0" borderId="50" xfId="0" applyNumberFormat="1" applyFont="1" applyFill="1" applyBorder="1" applyAlignment="1">
      <alignment horizontal="center" vertical="center"/>
    </xf>
    <xf numFmtId="3" fontId="8" fillId="0" borderId="33" xfId="0" applyNumberFormat="1" applyFont="1" applyFill="1" applyBorder="1" applyAlignment="1">
      <alignment horizontal="center" vertical="center"/>
    </xf>
    <xf numFmtId="3" fontId="8" fillId="0" borderId="35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29" xfId="0" applyNumberFormat="1" applyFont="1" applyFill="1" applyBorder="1" applyAlignment="1">
      <alignment horizontal="center" vertical="center"/>
    </xf>
    <xf numFmtId="3" fontId="8" fillId="0" borderId="34" xfId="0" applyNumberFormat="1" applyFont="1" applyFill="1" applyBorder="1" applyAlignment="1">
      <alignment horizontal="center" vertical="center" wrapText="1"/>
    </xf>
    <xf numFmtId="3" fontId="8" fillId="0" borderId="40" xfId="0" applyNumberFormat="1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 wrapText="1"/>
    </xf>
    <xf numFmtId="0" fontId="8" fillId="0" borderId="40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3" fontId="0" fillId="0" borderId="50" xfId="0" applyNumberFormat="1" applyFill="1" applyBorder="1" applyAlignment="1">
      <alignment horizontal="center" vertical="center"/>
    </xf>
    <xf numFmtId="3" fontId="0" fillId="0" borderId="33" xfId="0" applyNumberFormat="1" applyFill="1" applyBorder="1" applyAlignment="1">
      <alignment horizontal="center" vertical="center"/>
    </xf>
    <xf numFmtId="3" fontId="0" fillId="0" borderId="35" xfId="0" applyNumberFormat="1" applyFill="1" applyBorder="1" applyAlignment="1">
      <alignment horizontal="center" vertical="center"/>
    </xf>
    <xf numFmtId="3" fontId="0" fillId="0" borderId="34" xfId="0" applyNumberFormat="1" applyFill="1" applyBorder="1" applyAlignment="1">
      <alignment horizontal="center" vertical="center" wrapText="1"/>
    </xf>
    <xf numFmtId="3" fontId="0" fillId="0" borderId="40" xfId="0" applyNumberForma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/>
    </xf>
    <xf numFmtId="49" fontId="3" fillId="0" borderId="29" xfId="0" applyNumberFormat="1" applyFont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51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39"/>
  <sheetViews>
    <sheetView tabSelected="1" zoomScaleNormal="100" workbookViewId="0">
      <selection activeCell="B8" sqref="B8"/>
    </sheetView>
  </sheetViews>
  <sheetFormatPr baseColWidth="10" defaultColWidth="11.44140625" defaultRowHeight="24.9" customHeight="1" x14ac:dyDescent="0.25"/>
  <cols>
    <col min="1" max="1" width="4.6640625" style="160" customWidth="1"/>
    <col min="2" max="2" width="12" style="160" customWidth="1"/>
    <col min="3" max="3" width="28.88671875" style="160" customWidth="1"/>
    <col min="4" max="4" width="5.6640625" style="160" customWidth="1"/>
    <col min="5" max="5" width="5.33203125" style="160" customWidth="1"/>
    <col min="6" max="6" width="4.88671875" style="160" customWidth="1"/>
    <col min="7" max="7" width="5.6640625" style="160" customWidth="1"/>
    <col min="8" max="8" width="5.33203125" style="160" customWidth="1"/>
    <col min="9" max="9" width="4.88671875" style="160" customWidth="1"/>
    <col min="10" max="10" width="5.6640625" style="160" customWidth="1"/>
    <col min="11" max="11" width="5.33203125" style="160" customWidth="1"/>
    <col min="12" max="12" width="4.88671875" style="160" customWidth="1"/>
    <col min="13" max="13" width="5.6640625" style="160" customWidth="1"/>
    <col min="14" max="14" width="5.33203125" style="160" customWidth="1"/>
    <col min="15" max="15" width="4.88671875" style="160" customWidth="1"/>
    <col min="16" max="16" width="5.6640625" style="160" customWidth="1"/>
    <col min="17" max="17" width="5.33203125" style="160" customWidth="1"/>
    <col min="18" max="18" width="4.88671875" style="160" customWidth="1"/>
    <col min="19" max="19" width="5.6640625" style="160" customWidth="1"/>
    <col min="20" max="20" width="5.33203125" style="160" customWidth="1"/>
    <col min="21" max="21" width="4.88671875" style="160" customWidth="1"/>
    <col min="22" max="22" width="6.6640625" style="160" customWidth="1"/>
    <col min="23" max="23" width="7" style="160" bestFit="1" customWidth="1"/>
    <col min="24" max="24" width="6.109375" style="160" customWidth="1"/>
    <col min="25" max="25" width="5.5546875" style="160" customWidth="1"/>
    <col min="26" max="26" width="5" style="160" customWidth="1"/>
    <col min="27" max="27" width="4.109375" style="160" customWidth="1"/>
    <col min="28" max="16384" width="11.44140625" style="160"/>
  </cols>
  <sheetData>
    <row r="1" spans="1:26" s="158" customFormat="1" ht="16.5" customHeight="1" x14ac:dyDescent="0.3">
      <c r="A1" s="158" t="s">
        <v>101</v>
      </c>
    </row>
    <row r="2" spans="1:26" ht="16.5" customHeight="1" x14ac:dyDescent="0.3">
      <c r="A2" s="159" t="s">
        <v>116</v>
      </c>
    </row>
    <row r="3" spans="1:26" ht="16.5" customHeight="1" x14ac:dyDescent="0.25"/>
    <row r="4" spans="1:26" s="161" customFormat="1" ht="78.75" customHeight="1" x14ac:dyDescent="0.25">
      <c r="A4" s="256" t="s">
        <v>27</v>
      </c>
      <c r="B4" s="253" t="s">
        <v>0</v>
      </c>
      <c r="C4" s="257" t="s">
        <v>102</v>
      </c>
      <c r="D4" s="253" t="s">
        <v>1</v>
      </c>
      <c r="E4" s="253"/>
      <c r="F4" s="253"/>
      <c r="G4" s="253" t="s">
        <v>2</v>
      </c>
      <c r="H4" s="253"/>
      <c r="I4" s="253"/>
      <c r="J4" s="253" t="s">
        <v>3</v>
      </c>
      <c r="K4" s="253"/>
      <c r="L4" s="253"/>
      <c r="M4" s="253" t="s">
        <v>4</v>
      </c>
      <c r="N4" s="253"/>
      <c r="O4" s="253"/>
      <c r="P4" s="253" t="s">
        <v>5</v>
      </c>
      <c r="Q4" s="253"/>
      <c r="R4" s="253"/>
      <c r="S4" s="253" t="s">
        <v>6</v>
      </c>
      <c r="T4" s="253"/>
      <c r="U4" s="253"/>
      <c r="V4" s="253" t="s">
        <v>32</v>
      </c>
      <c r="W4" s="253"/>
      <c r="X4" s="253"/>
      <c r="Y4" s="253"/>
      <c r="Z4" s="253" t="s">
        <v>7</v>
      </c>
    </row>
    <row r="5" spans="1:26" s="162" customFormat="1" ht="30" customHeight="1" x14ac:dyDescent="0.25">
      <c r="A5" s="254"/>
      <c r="B5" s="254"/>
      <c r="C5" s="254"/>
      <c r="D5" s="257" t="s">
        <v>8</v>
      </c>
      <c r="E5" s="253" t="s">
        <v>43</v>
      </c>
      <c r="F5" s="253" t="s">
        <v>9</v>
      </c>
      <c r="G5" s="257" t="s">
        <v>8</v>
      </c>
      <c r="H5" s="253" t="s">
        <v>43</v>
      </c>
      <c r="I5" s="253" t="s">
        <v>7</v>
      </c>
      <c r="J5" s="257" t="s">
        <v>8</v>
      </c>
      <c r="K5" s="253" t="s">
        <v>43</v>
      </c>
      <c r="L5" s="253" t="s">
        <v>7</v>
      </c>
      <c r="M5" s="257" t="s">
        <v>8</v>
      </c>
      <c r="N5" s="253" t="s">
        <v>43</v>
      </c>
      <c r="O5" s="253" t="s">
        <v>7</v>
      </c>
      <c r="P5" s="253" t="s">
        <v>8</v>
      </c>
      <c r="Q5" s="253" t="s">
        <v>43</v>
      </c>
      <c r="R5" s="253" t="s">
        <v>7</v>
      </c>
      <c r="S5" s="253" t="s">
        <v>8</v>
      </c>
      <c r="T5" s="253" t="s">
        <v>43</v>
      </c>
      <c r="U5" s="253" t="s">
        <v>7</v>
      </c>
      <c r="V5" s="255" t="s">
        <v>29</v>
      </c>
      <c r="W5" s="255"/>
      <c r="X5" s="256" t="s">
        <v>104</v>
      </c>
      <c r="Y5" s="256"/>
      <c r="Z5" s="254"/>
    </row>
    <row r="6" spans="1:26" s="162" customFormat="1" ht="30" customHeight="1" x14ac:dyDescent="0.25">
      <c r="A6" s="254"/>
      <c r="B6" s="254"/>
      <c r="C6" s="254"/>
      <c r="D6" s="254"/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253"/>
      <c r="P6" s="254"/>
      <c r="Q6" s="254"/>
      <c r="R6" s="254"/>
      <c r="S6" s="254"/>
      <c r="T6" s="254"/>
      <c r="U6" s="253"/>
      <c r="V6" s="196" t="s">
        <v>8</v>
      </c>
      <c r="W6" s="194" t="s">
        <v>43</v>
      </c>
      <c r="X6" s="196" t="s">
        <v>8</v>
      </c>
      <c r="Y6" s="194" t="s">
        <v>43</v>
      </c>
      <c r="Z6" s="254"/>
    </row>
    <row r="7" spans="1:26" s="163" customFormat="1" ht="16.2" thickBot="1" x14ac:dyDescent="0.3">
      <c r="A7" s="193">
        <v>1</v>
      </c>
      <c r="B7" s="193">
        <v>2</v>
      </c>
      <c r="C7" s="193">
        <v>2</v>
      </c>
      <c r="D7" s="193">
        <v>3</v>
      </c>
      <c r="E7" s="193">
        <v>4</v>
      </c>
      <c r="F7" s="193">
        <v>5</v>
      </c>
      <c r="G7" s="193">
        <v>6</v>
      </c>
      <c r="H7" s="193">
        <v>7</v>
      </c>
      <c r="I7" s="193">
        <v>8</v>
      </c>
      <c r="J7" s="193">
        <v>9</v>
      </c>
      <c r="K7" s="193">
        <v>10</v>
      </c>
      <c r="L7" s="193">
        <v>11</v>
      </c>
      <c r="M7" s="193">
        <v>12</v>
      </c>
      <c r="N7" s="193">
        <v>13</v>
      </c>
      <c r="O7" s="252">
        <v>14</v>
      </c>
      <c r="P7" s="193">
        <v>15</v>
      </c>
      <c r="Q7" s="193">
        <v>16</v>
      </c>
      <c r="R7" s="193">
        <v>17</v>
      </c>
      <c r="S7" s="193">
        <v>18</v>
      </c>
      <c r="T7" s="193">
        <v>19</v>
      </c>
      <c r="U7" s="193">
        <v>20</v>
      </c>
      <c r="V7" s="183">
        <v>21</v>
      </c>
      <c r="W7" s="182">
        <v>22</v>
      </c>
      <c r="X7" s="184">
        <v>23</v>
      </c>
      <c r="Y7" s="184">
        <v>24</v>
      </c>
      <c r="Z7" s="193">
        <v>25</v>
      </c>
    </row>
    <row r="8" spans="1:26" ht="18" x14ac:dyDescent="0.3">
      <c r="A8" s="217">
        <v>1</v>
      </c>
      <c r="B8" s="218" t="s">
        <v>57</v>
      </c>
      <c r="C8" s="226" t="s">
        <v>58</v>
      </c>
      <c r="D8" s="213">
        <v>98</v>
      </c>
      <c r="E8" s="219">
        <v>47</v>
      </c>
      <c r="F8" s="219">
        <v>3</v>
      </c>
      <c r="G8" s="213">
        <v>95</v>
      </c>
      <c r="H8" s="219">
        <v>39</v>
      </c>
      <c r="I8" s="219">
        <v>3</v>
      </c>
      <c r="J8" s="213">
        <v>94</v>
      </c>
      <c r="K8" s="219">
        <v>48</v>
      </c>
      <c r="L8" s="219">
        <v>3</v>
      </c>
      <c r="M8" s="213">
        <v>98</v>
      </c>
      <c r="N8" s="220">
        <v>45</v>
      </c>
      <c r="O8" s="220">
        <v>3</v>
      </c>
      <c r="P8" s="213">
        <v>88</v>
      </c>
      <c r="Q8" s="219">
        <v>47</v>
      </c>
      <c r="R8" s="219">
        <v>3</v>
      </c>
      <c r="S8" s="213">
        <v>84</v>
      </c>
      <c r="T8" s="219">
        <v>40</v>
      </c>
      <c r="U8" s="220">
        <v>3</v>
      </c>
      <c r="V8" s="203">
        <f>D8+G8+J8+M8+P8+S8</f>
        <v>557</v>
      </c>
      <c r="W8" s="203">
        <f>E8+H8+K8+N8+Q8+T8</f>
        <v>266</v>
      </c>
      <c r="X8" s="213">
        <v>27</v>
      </c>
      <c r="Y8" s="219">
        <v>19</v>
      </c>
      <c r="Z8" s="206">
        <f>F8+I8+L8+O8+R8+U8</f>
        <v>18</v>
      </c>
    </row>
    <row r="9" spans="1:26" ht="15.6" x14ac:dyDescent="0.3">
      <c r="A9" s="201">
        <v>2</v>
      </c>
      <c r="B9" s="202" t="s">
        <v>57</v>
      </c>
      <c r="C9" s="207" t="s">
        <v>11</v>
      </c>
      <c r="D9" s="203">
        <v>72</v>
      </c>
      <c r="E9" s="204">
        <v>34</v>
      </c>
      <c r="F9" s="204">
        <v>3</v>
      </c>
      <c r="G9" s="203">
        <v>31</v>
      </c>
      <c r="H9" s="204">
        <v>17</v>
      </c>
      <c r="I9" s="204">
        <v>1</v>
      </c>
      <c r="J9" s="203">
        <v>62</v>
      </c>
      <c r="K9" s="204">
        <v>19</v>
      </c>
      <c r="L9" s="204">
        <v>2</v>
      </c>
      <c r="M9" s="203">
        <v>59</v>
      </c>
      <c r="N9" s="214">
        <v>19</v>
      </c>
      <c r="O9" s="199">
        <v>2</v>
      </c>
      <c r="P9" s="203">
        <v>74</v>
      </c>
      <c r="Q9" s="204">
        <v>40</v>
      </c>
      <c r="R9" s="204">
        <v>3</v>
      </c>
      <c r="S9" s="203">
        <v>58</v>
      </c>
      <c r="T9" s="204">
        <v>25</v>
      </c>
      <c r="U9" s="205">
        <v>2</v>
      </c>
      <c r="V9" s="203">
        <f>D9+G9+J9+M9+P9+S9</f>
        <v>356</v>
      </c>
      <c r="W9" s="203">
        <f>E9+H9+K9+N9+Q9+T9</f>
        <v>154</v>
      </c>
      <c r="X9" s="203">
        <v>34</v>
      </c>
      <c r="Y9" s="198">
        <v>19</v>
      </c>
      <c r="Z9" s="206">
        <f>F9+I9+L9+O9+R9+U9</f>
        <v>13</v>
      </c>
    </row>
    <row r="10" spans="1:26" ht="30.6" x14ac:dyDescent="0.3">
      <c r="A10" s="201">
        <v>3</v>
      </c>
      <c r="B10" s="202" t="s">
        <v>57</v>
      </c>
      <c r="C10" s="207" t="s">
        <v>15</v>
      </c>
      <c r="D10" s="203">
        <v>59</v>
      </c>
      <c r="E10" s="204">
        <v>31</v>
      </c>
      <c r="F10" s="204">
        <v>2</v>
      </c>
      <c r="G10" s="203">
        <v>76</v>
      </c>
      <c r="H10" s="204">
        <v>34</v>
      </c>
      <c r="I10" s="204">
        <v>3</v>
      </c>
      <c r="J10" s="203">
        <v>73</v>
      </c>
      <c r="K10" s="204">
        <v>35</v>
      </c>
      <c r="L10" s="204">
        <v>3</v>
      </c>
      <c r="M10" s="203">
        <v>75</v>
      </c>
      <c r="N10" s="214">
        <v>38</v>
      </c>
      <c r="O10" s="205">
        <v>3</v>
      </c>
      <c r="P10" s="203">
        <v>63</v>
      </c>
      <c r="Q10" s="204">
        <v>34</v>
      </c>
      <c r="R10" s="204">
        <v>2</v>
      </c>
      <c r="S10" s="203">
        <v>64</v>
      </c>
      <c r="T10" s="204">
        <v>31</v>
      </c>
      <c r="U10" s="205">
        <v>2</v>
      </c>
      <c r="V10" s="203">
        <f>D10+G10+J10+M10+P10+S10</f>
        <v>410</v>
      </c>
      <c r="W10" s="203">
        <f>E10+H10+K10+N10+Q10+T10</f>
        <v>203</v>
      </c>
      <c r="X10" s="203">
        <v>47</v>
      </c>
      <c r="Y10" s="204">
        <v>22</v>
      </c>
      <c r="Z10" s="206">
        <f>F10+I10+L10+O10+R10+U10</f>
        <v>15</v>
      </c>
    </row>
    <row r="11" spans="1:26" ht="30.6" x14ac:dyDescent="0.3">
      <c r="A11" s="201">
        <v>4</v>
      </c>
      <c r="B11" s="202" t="s">
        <v>57</v>
      </c>
      <c r="C11" s="207" t="s">
        <v>13</v>
      </c>
      <c r="D11" s="203">
        <v>90</v>
      </c>
      <c r="E11" s="204">
        <v>34</v>
      </c>
      <c r="F11" s="204">
        <v>3</v>
      </c>
      <c r="G11" s="203">
        <v>82</v>
      </c>
      <c r="H11" s="204">
        <v>39</v>
      </c>
      <c r="I11" s="204">
        <v>3</v>
      </c>
      <c r="J11" s="203">
        <v>59</v>
      </c>
      <c r="K11" s="204">
        <v>30</v>
      </c>
      <c r="L11" s="204">
        <v>2</v>
      </c>
      <c r="M11" s="203">
        <v>93</v>
      </c>
      <c r="N11" s="223">
        <v>55</v>
      </c>
      <c r="O11" s="205">
        <v>3</v>
      </c>
      <c r="P11" s="203">
        <v>110</v>
      </c>
      <c r="Q11" s="204">
        <v>59</v>
      </c>
      <c r="R11" s="204">
        <v>4</v>
      </c>
      <c r="S11" s="203">
        <v>88</v>
      </c>
      <c r="T11" s="204">
        <v>33</v>
      </c>
      <c r="U11" s="205">
        <v>3</v>
      </c>
      <c r="V11" s="203">
        <f>D11+G11+J11+M11+P11+S11</f>
        <v>522</v>
      </c>
      <c r="W11" s="203">
        <f>E11+H11+K11+N11+Q11+T11</f>
        <v>250</v>
      </c>
      <c r="X11" s="203">
        <v>46</v>
      </c>
      <c r="Y11" s="204">
        <v>23</v>
      </c>
      <c r="Z11" s="206">
        <f>F11+I11+L11+O11+R11+U11</f>
        <v>18</v>
      </c>
    </row>
    <row r="12" spans="1:26" ht="15.6" x14ac:dyDescent="0.3">
      <c r="A12" s="201">
        <v>5</v>
      </c>
      <c r="B12" s="202" t="s">
        <v>57</v>
      </c>
      <c r="C12" s="207" t="s">
        <v>12</v>
      </c>
      <c r="D12" s="203">
        <v>92</v>
      </c>
      <c r="E12" s="204">
        <v>40</v>
      </c>
      <c r="F12" s="204">
        <v>3</v>
      </c>
      <c r="G12" s="203">
        <v>87</v>
      </c>
      <c r="H12" s="204">
        <v>35</v>
      </c>
      <c r="I12" s="204">
        <v>3</v>
      </c>
      <c r="J12" s="203">
        <v>116</v>
      </c>
      <c r="K12" s="204">
        <v>47</v>
      </c>
      <c r="L12" s="204">
        <v>4</v>
      </c>
      <c r="M12" s="203">
        <v>113</v>
      </c>
      <c r="N12" s="223">
        <v>49</v>
      </c>
      <c r="O12" s="205">
        <v>4</v>
      </c>
      <c r="P12" s="203">
        <v>80</v>
      </c>
      <c r="Q12" s="204">
        <v>40</v>
      </c>
      <c r="R12" s="204">
        <v>3</v>
      </c>
      <c r="S12" s="203">
        <v>97</v>
      </c>
      <c r="T12" s="204">
        <v>37</v>
      </c>
      <c r="U12" s="205">
        <v>4</v>
      </c>
      <c r="V12" s="203">
        <f>D12+G12+J12+M12+P12+S12</f>
        <v>585</v>
      </c>
      <c r="W12" s="203">
        <f>E12+H12+K12+N12+Q12+T12</f>
        <v>248</v>
      </c>
      <c r="X12" s="203">
        <v>42</v>
      </c>
      <c r="Y12" s="204">
        <v>20</v>
      </c>
      <c r="Z12" s="206">
        <f>F12+I12+L12+O12+R12+U12</f>
        <v>21</v>
      </c>
    </row>
    <row r="13" spans="1:26" ht="45.6" x14ac:dyDescent="0.3">
      <c r="A13" s="201">
        <v>6</v>
      </c>
      <c r="B13" s="202" t="s">
        <v>57</v>
      </c>
      <c r="C13" s="207" t="s">
        <v>47</v>
      </c>
      <c r="D13" s="203">
        <v>84</v>
      </c>
      <c r="E13" s="204">
        <v>38</v>
      </c>
      <c r="F13" s="204">
        <v>3</v>
      </c>
      <c r="G13" s="203">
        <v>81</v>
      </c>
      <c r="H13" s="204">
        <v>32</v>
      </c>
      <c r="I13" s="204">
        <v>3</v>
      </c>
      <c r="J13" s="203">
        <v>77</v>
      </c>
      <c r="K13" s="204">
        <v>35</v>
      </c>
      <c r="L13" s="204">
        <v>3</v>
      </c>
      <c r="M13" s="203">
        <v>75</v>
      </c>
      <c r="N13" s="223">
        <v>36</v>
      </c>
      <c r="O13" s="205">
        <v>3</v>
      </c>
      <c r="P13" s="203">
        <v>97</v>
      </c>
      <c r="Q13" s="204">
        <v>37</v>
      </c>
      <c r="R13" s="204">
        <v>3</v>
      </c>
      <c r="S13" s="203">
        <v>60</v>
      </c>
      <c r="T13" s="204">
        <v>22</v>
      </c>
      <c r="U13" s="205">
        <v>3</v>
      </c>
      <c r="V13" s="203">
        <f>D13+G13+J13+M13+P13+S13</f>
        <v>474</v>
      </c>
      <c r="W13" s="203">
        <f>E13+H13+K13+N13+Q13+T13</f>
        <v>200</v>
      </c>
      <c r="X13" s="203">
        <v>32</v>
      </c>
      <c r="Y13" s="204">
        <v>13</v>
      </c>
      <c r="Z13" s="206">
        <f>F13+I13+L13+O13+R13+U13</f>
        <v>18</v>
      </c>
    </row>
    <row r="14" spans="1:26" ht="15.6" x14ac:dyDescent="0.3">
      <c r="A14" s="201">
        <v>7</v>
      </c>
      <c r="B14" s="202" t="s">
        <v>57</v>
      </c>
      <c r="C14" s="207" t="s">
        <v>14</v>
      </c>
      <c r="D14" s="203">
        <v>120</v>
      </c>
      <c r="E14" s="204">
        <v>54</v>
      </c>
      <c r="F14" s="204">
        <v>4</v>
      </c>
      <c r="G14" s="203">
        <v>116</v>
      </c>
      <c r="H14" s="204">
        <v>50</v>
      </c>
      <c r="I14" s="204">
        <v>4</v>
      </c>
      <c r="J14" s="203">
        <v>116</v>
      </c>
      <c r="K14" s="204">
        <v>55</v>
      </c>
      <c r="L14" s="204">
        <v>4</v>
      </c>
      <c r="M14" s="203">
        <v>116</v>
      </c>
      <c r="N14" s="214">
        <v>54</v>
      </c>
      <c r="O14" s="199">
        <v>4</v>
      </c>
      <c r="P14" s="203">
        <v>110</v>
      </c>
      <c r="Q14" s="204">
        <v>56</v>
      </c>
      <c r="R14" s="204">
        <v>4</v>
      </c>
      <c r="S14" s="203">
        <v>107</v>
      </c>
      <c r="T14" s="204">
        <v>40</v>
      </c>
      <c r="U14" s="205">
        <v>4</v>
      </c>
      <c r="V14" s="203">
        <f>D14+G14+J14+M14+P14+S14</f>
        <v>685</v>
      </c>
      <c r="W14" s="203">
        <f>E14+H14+K14+N14+Q14+T14</f>
        <v>309</v>
      </c>
      <c r="X14" s="203">
        <v>38</v>
      </c>
      <c r="Y14" s="198">
        <v>19</v>
      </c>
      <c r="Z14" s="206">
        <f>F14+I14+L14+O14+R14+U14</f>
        <v>24</v>
      </c>
    </row>
    <row r="15" spans="1:26" ht="15.6" x14ac:dyDescent="0.3">
      <c r="A15" s="201">
        <v>8</v>
      </c>
      <c r="B15" s="202" t="s">
        <v>57</v>
      </c>
      <c r="C15" s="202" t="s">
        <v>16</v>
      </c>
      <c r="D15" s="203">
        <v>31</v>
      </c>
      <c r="E15" s="204">
        <v>17</v>
      </c>
      <c r="F15" s="204">
        <v>1</v>
      </c>
      <c r="G15" s="203">
        <v>63</v>
      </c>
      <c r="H15" s="204">
        <v>30</v>
      </c>
      <c r="I15" s="204">
        <v>2</v>
      </c>
      <c r="J15" s="203">
        <v>50</v>
      </c>
      <c r="K15" s="204">
        <v>11</v>
      </c>
      <c r="L15" s="204">
        <v>2</v>
      </c>
      <c r="M15" s="203">
        <v>46</v>
      </c>
      <c r="N15" s="214">
        <v>21</v>
      </c>
      <c r="O15" s="205">
        <v>2</v>
      </c>
      <c r="P15" s="203">
        <v>57</v>
      </c>
      <c r="Q15" s="204">
        <v>19</v>
      </c>
      <c r="R15" s="204">
        <v>2</v>
      </c>
      <c r="S15" s="203">
        <v>55</v>
      </c>
      <c r="T15" s="204">
        <v>27</v>
      </c>
      <c r="U15" s="205">
        <v>2</v>
      </c>
      <c r="V15" s="203">
        <f>D15+G15+J15+M15+P15+S15</f>
        <v>302</v>
      </c>
      <c r="W15" s="203">
        <f>E15+H15+K15+N15+Q15+T15</f>
        <v>125</v>
      </c>
      <c r="X15" s="203">
        <v>23</v>
      </c>
      <c r="Y15" s="204">
        <v>7</v>
      </c>
      <c r="Z15" s="206">
        <f>F15+I15+L15+O15+R15+U15</f>
        <v>11</v>
      </c>
    </row>
    <row r="16" spans="1:26" ht="16.2" thickBot="1" x14ac:dyDescent="0.35">
      <c r="A16" s="201">
        <v>9</v>
      </c>
      <c r="B16" s="202" t="s">
        <v>57</v>
      </c>
      <c r="C16" s="207" t="s">
        <v>17</v>
      </c>
      <c r="D16" s="203">
        <v>91</v>
      </c>
      <c r="E16" s="204">
        <v>41</v>
      </c>
      <c r="F16" s="204">
        <v>3</v>
      </c>
      <c r="G16" s="203">
        <v>86</v>
      </c>
      <c r="H16" s="204">
        <v>38</v>
      </c>
      <c r="I16" s="204">
        <v>3</v>
      </c>
      <c r="J16" s="203">
        <v>114</v>
      </c>
      <c r="K16" s="204">
        <v>54</v>
      </c>
      <c r="L16" s="204">
        <v>4</v>
      </c>
      <c r="M16" s="203">
        <v>89</v>
      </c>
      <c r="N16" s="214">
        <v>47</v>
      </c>
      <c r="O16" s="229">
        <v>3</v>
      </c>
      <c r="P16" s="203">
        <v>91</v>
      </c>
      <c r="Q16" s="204">
        <v>40</v>
      </c>
      <c r="R16" s="204">
        <v>3</v>
      </c>
      <c r="S16" s="203">
        <v>71</v>
      </c>
      <c r="T16" s="204">
        <v>36</v>
      </c>
      <c r="U16" s="229">
        <v>3</v>
      </c>
      <c r="V16" s="230">
        <f>D16+G16+J16+M16+P16+S16</f>
        <v>542</v>
      </c>
      <c r="W16" s="230">
        <f>E16+H16+K16+N16+Q16+T16</f>
        <v>256</v>
      </c>
      <c r="X16" s="230">
        <v>23</v>
      </c>
      <c r="Y16" s="231">
        <v>12</v>
      </c>
      <c r="Z16" s="206">
        <f>F16+I16+L16+O16+R16+U16</f>
        <v>19</v>
      </c>
    </row>
    <row r="17" spans="1:26" ht="16.2" thickBot="1" x14ac:dyDescent="0.35">
      <c r="A17" s="215"/>
      <c r="B17" s="216" t="s">
        <v>57</v>
      </c>
      <c r="C17" s="227" t="s">
        <v>33</v>
      </c>
      <c r="D17" s="209">
        <f t="shared" ref="D17:Z17" si="0">SUM(D8:D16)</f>
        <v>737</v>
      </c>
      <c r="E17" s="209">
        <f t="shared" si="0"/>
        <v>336</v>
      </c>
      <c r="F17" s="209">
        <f t="shared" si="0"/>
        <v>25</v>
      </c>
      <c r="G17" s="209">
        <f t="shared" si="0"/>
        <v>717</v>
      </c>
      <c r="H17" s="209">
        <f t="shared" si="0"/>
        <v>314</v>
      </c>
      <c r="I17" s="209">
        <f t="shared" si="0"/>
        <v>25</v>
      </c>
      <c r="J17" s="209">
        <f t="shared" si="0"/>
        <v>761</v>
      </c>
      <c r="K17" s="209">
        <f t="shared" si="0"/>
        <v>334</v>
      </c>
      <c r="L17" s="209">
        <f t="shared" si="0"/>
        <v>27</v>
      </c>
      <c r="M17" s="209">
        <f t="shared" si="0"/>
        <v>764</v>
      </c>
      <c r="N17" s="209">
        <f t="shared" si="0"/>
        <v>364</v>
      </c>
      <c r="O17" s="232">
        <f t="shared" si="0"/>
        <v>27</v>
      </c>
      <c r="P17" s="209">
        <f t="shared" si="0"/>
        <v>770</v>
      </c>
      <c r="Q17" s="209">
        <f t="shared" si="0"/>
        <v>372</v>
      </c>
      <c r="R17" s="209">
        <f t="shared" si="0"/>
        <v>27</v>
      </c>
      <c r="S17" s="209">
        <f t="shared" si="0"/>
        <v>684</v>
      </c>
      <c r="T17" s="209">
        <f t="shared" si="0"/>
        <v>291</v>
      </c>
      <c r="U17" s="232">
        <f t="shared" si="0"/>
        <v>26</v>
      </c>
      <c r="V17" s="211">
        <f t="shared" si="0"/>
        <v>4433</v>
      </c>
      <c r="W17" s="211">
        <f t="shared" si="0"/>
        <v>2011</v>
      </c>
      <c r="X17" s="209">
        <f t="shared" si="0"/>
        <v>312</v>
      </c>
      <c r="Y17" s="209">
        <f t="shared" si="0"/>
        <v>154</v>
      </c>
      <c r="Z17" s="212">
        <f t="shared" si="0"/>
        <v>157</v>
      </c>
    </row>
    <row r="18" spans="1:26" ht="18" thickBot="1" x14ac:dyDescent="0.3">
      <c r="B18" s="228" t="s">
        <v>59</v>
      </c>
      <c r="V18" s="233"/>
      <c r="W18" s="233"/>
      <c r="Z18" s="233"/>
    </row>
    <row r="19" spans="1:26" ht="18" x14ac:dyDescent="0.3">
      <c r="A19" s="217">
        <v>1</v>
      </c>
      <c r="B19" s="218" t="s">
        <v>60</v>
      </c>
      <c r="C19" s="226" t="s">
        <v>58</v>
      </c>
      <c r="D19" s="213">
        <v>92</v>
      </c>
      <c r="E19" s="219">
        <v>39</v>
      </c>
      <c r="F19" s="219">
        <v>3</v>
      </c>
      <c r="G19" s="213">
        <v>95</v>
      </c>
      <c r="H19" s="219">
        <v>46</v>
      </c>
      <c r="I19" s="219">
        <v>3</v>
      </c>
      <c r="J19" s="213">
        <v>88</v>
      </c>
      <c r="K19" s="219">
        <v>35</v>
      </c>
      <c r="L19" s="219">
        <v>3</v>
      </c>
      <c r="M19" s="213">
        <v>94</v>
      </c>
      <c r="N19" s="220">
        <v>48</v>
      </c>
      <c r="O19" s="220">
        <v>3</v>
      </c>
      <c r="P19" s="213">
        <v>100</v>
      </c>
      <c r="Q19" s="219">
        <v>45</v>
      </c>
      <c r="R19" s="219">
        <v>3</v>
      </c>
      <c r="S19" s="213">
        <v>88</v>
      </c>
      <c r="T19" s="219">
        <v>50</v>
      </c>
      <c r="U19" s="220">
        <v>3</v>
      </c>
      <c r="V19" s="197">
        <f>D19+G19+J19+M19+P19+S19</f>
        <v>557</v>
      </c>
      <c r="W19" s="197">
        <f>E19+H19+K19+N19+Q19+T19</f>
        <v>263</v>
      </c>
      <c r="X19" s="213">
        <v>22</v>
      </c>
      <c r="Y19" s="219">
        <v>16</v>
      </c>
      <c r="Z19" s="200">
        <f>F19+I19+L19+O19+R19+U19</f>
        <v>18</v>
      </c>
    </row>
    <row r="20" spans="1:26" ht="15.6" x14ac:dyDescent="0.3">
      <c r="A20" s="201">
        <v>2</v>
      </c>
      <c r="B20" s="202" t="s">
        <v>60</v>
      </c>
      <c r="C20" s="207" t="s">
        <v>11</v>
      </c>
      <c r="D20" s="203">
        <v>52</v>
      </c>
      <c r="E20" s="204">
        <v>27</v>
      </c>
      <c r="F20" s="204">
        <v>2</v>
      </c>
      <c r="G20" s="203">
        <v>76</v>
      </c>
      <c r="H20" s="204">
        <v>36</v>
      </c>
      <c r="I20" s="204">
        <v>3</v>
      </c>
      <c r="J20" s="203">
        <v>31</v>
      </c>
      <c r="K20" s="204">
        <v>17</v>
      </c>
      <c r="L20" s="204">
        <v>1</v>
      </c>
      <c r="M20" s="203">
        <v>61</v>
      </c>
      <c r="N20" s="214">
        <v>19</v>
      </c>
      <c r="O20" s="199">
        <v>2</v>
      </c>
      <c r="P20" s="203">
        <v>60</v>
      </c>
      <c r="Q20" s="204">
        <v>22</v>
      </c>
      <c r="R20" s="204">
        <v>2</v>
      </c>
      <c r="S20" s="203">
        <v>78</v>
      </c>
      <c r="T20" s="204">
        <v>45</v>
      </c>
      <c r="U20" s="205">
        <v>3</v>
      </c>
      <c r="V20" s="203">
        <f>D20+G20+J20+M20+P20+S20</f>
        <v>358</v>
      </c>
      <c r="W20" s="203">
        <f>E20+H20+K20+N20+Q20+T20</f>
        <v>166</v>
      </c>
      <c r="X20" s="203">
        <v>33</v>
      </c>
      <c r="Y20" s="198">
        <v>19</v>
      </c>
      <c r="Z20" s="206">
        <f>F20+I20+L20+O20+R20+U20</f>
        <v>13</v>
      </c>
    </row>
    <row r="21" spans="1:26" ht="27.6" x14ac:dyDescent="0.3">
      <c r="A21" s="201">
        <v>3</v>
      </c>
      <c r="B21" s="202" t="s">
        <v>60</v>
      </c>
      <c r="C21" s="234" t="s">
        <v>66</v>
      </c>
      <c r="D21" s="203">
        <v>78</v>
      </c>
      <c r="E21" s="204">
        <v>31</v>
      </c>
      <c r="F21" s="204">
        <v>3</v>
      </c>
      <c r="G21" s="203">
        <v>60</v>
      </c>
      <c r="H21" s="204">
        <v>32</v>
      </c>
      <c r="I21" s="204">
        <v>2</v>
      </c>
      <c r="J21" s="203">
        <v>79</v>
      </c>
      <c r="K21" s="204">
        <v>37</v>
      </c>
      <c r="L21" s="204">
        <v>3</v>
      </c>
      <c r="M21" s="203">
        <v>79</v>
      </c>
      <c r="N21" s="214">
        <v>41</v>
      </c>
      <c r="O21" s="205">
        <v>3</v>
      </c>
      <c r="P21" s="203">
        <v>71</v>
      </c>
      <c r="Q21" s="204">
        <v>32</v>
      </c>
      <c r="R21" s="204">
        <v>3</v>
      </c>
      <c r="S21" s="203">
        <v>65</v>
      </c>
      <c r="T21" s="204">
        <v>33</v>
      </c>
      <c r="U21" s="205">
        <v>2</v>
      </c>
      <c r="V21" s="203">
        <f>D21+G21+J21+M21+P21+S21</f>
        <v>432</v>
      </c>
      <c r="W21" s="203">
        <f>E21+H21+K21+N21+Q21+T21</f>
        <v>206</v>
      </c>
      <c r="X21" s="203">
        <v>57</v>
      </c>
      <c r="Y21" s="204">
        <v>28</v>
      </c>
      <c r="Z21" s="206">
        <f>F21+I21+L21+O21+R21+U21</f>
        <v>16</v>
      </c>
    </row>
    <row r="22" spans="1:26" ht="30.6" x14ac:dyDescent="0.3">
      <c r="A22" s="201">
        <v>4</v>
      </c>
      <c r="B22" s="202" t="s">
        <v>60</v>
      </c>
      <c r="C22" s="207" t="s">
        <v>13</v>
      </c>
      <c r="D22" s="203">
        <v>87</v>
      </c>
      <c r="E22" s="204">
        <v>48</v>
      </c>
      <c r="F22" s="204">
        <v>3</v>
      </c>
      <c r="G22" s="203">
        <v>87</v>
      </c>
      <c r="H22" s="204">
        <v>34</v>
      </c>
      <c r="I22" s="204">
        <v>3</v>
      </c>
      <c r="J22" s="203">
        <v>89</v>
      </c>
      <c r="K22" s="204">
        <v>41</v>
      </c>
      <c r="L22" s="204">
        <v>3</v>
      </c>
      <c r="M22" s="203">
        <v>60</v>
      </c>
      <c r="N22" s="223">
        <v>32</v>
      </c>
      <c r="O22" s="205">
        <v>2</v>
      </c>
      <c r="P22" s="203">
        <v>93</v>
      </c>
      <c r="Q22" s="204">
        <v>54</v>
      </c>
      <c r="R22" s="204">
        <v>3</v>
      </c>
      <c r="S22" s="203">
        <v>112</v>
      </c>
      <c r="T22" s="204">
        <v>61</v>
      </c>
      <c r="U22" s="205">
        <v>4</v>
      </c>
      <c r="V22" s="203">
        <f>D22+G22+J22+M22+P22+S22</f>
        <v>528</v>
      </c>
      <c r="W22" s="203">
        <f>E22+H22+K22+N22+Q22+T22</f>
        <v>270</v>
      </c>
      <c r="X22" s="203">
        <v>46</v>
      </c>
      <c r="Y22" s="204">
        <v>21</v>
      </c>
      <c r="Z22" s="206">
        <f>F22+I22+L22+O22+R22+U22</f>
        <v>18</v>
      </c>
    </row>
    <row r="23" spans="1:26" ht="15.6" x14ac:dyDescent="0.3">
      <c r="A23" s="201">
        <v>5</v>
      </c>
      <c r="B23" s="202" t="s">
        <v>60</v>
      </c>
      <c r="C23" s="207" t="s">
        <v>12</v>
      </c>
      <c r="D23" s="203">
        <v>85</v>
      </c>
      <c r="E23" s="204">
        <v>35</v>
      </c>
      <c r="F23" s="204">
        <v>3</v>
      </c>
      <c r="G23" s="203">
        <v>85</v>
      </c>
      <c r="H23" s="204">
        <v>38</v>
      </c>
      <c r="I23" s="204">
        <v>3</v>
      </c>
      <c r="J23" s="203">
        <v>83</v>
      </c>
      <c r="K23" s="204">
        <v>34</v>
      </c>
      <c r="L23" s="204">
        <v>3</v>
      </c>
      <c r="M23" s="203">
        <v>116</v>
      </c>
      <c r="N23" s="223">
        <v>50</v>
      </c>
      <c r="O23" s="205">
        <v>4</v>
      </c>
      <c r="P23" s="203">
        <v>119</v>
      </c>
      <c r="Q23" s="204">
        <v>50</v>
      </c>
      <c r="R23" s="204">
        <v>4</v>
      </c>
      <c r="S23" s="203">
        <v>73</v>
      </c>
      <c r="T23" s="204">
        <v>40</v>
      </c>
      <c r="U23" s="205">
        <v>3</v>
      </c>
      <c r="V23" s="203">
        <f>D23+G23+J23+M23+P23+S23</f>
        <v>561</v>
      </c>
      <c r="W23" s="203">
        <f>E23+H23+K23+N23+Q23+T23</f>
        <v>247</v>
      </c>
      <c r="X23" s="203">
        <v>37</v>
      </c>
      <c r="Y23" s="204">
        <v>17</v>
      </c>
      <c r="Z23" s="206">
        <f>F23+I23+L23+O23+R23+U23</f>
        <v>20</v>
      </c>
    </row>
    <row r="24" spans="1:26" ht="27.6" x14ac:dyDescent="0.3">
      <c r="A24" s="201">
        <v>6</v>
      </c>
      <c r="B24" s="202" t="s">
        <v>60</v>
      </c>
      <c r="C24" s="207" t="s">
        <v>65</v>
      </c>
      <c r="D24" s="203">
        <v>50</v>
      </c>
      <c r="E24" s="204">
        <v>22</v>
      </c>
      <c r="F24" s="204">
        <v>2</v>
      </c>
      <c r="G24" s="203">
        <v>85</v>
      </c>
      <c r="H24" s="204">
        <v>40</v>
      </c>
      <c r="I24" s="204">
        <v>3</v>
      </c>
      <c r="J24" s="203">
        <v>76</v>
      </c>
      <c r="K24" s="204">
        <v>30</v>
      </c>
      <c r="L24" s="204">
        <v>3</v>
      </c>
      <c r="M24" s="203">
        <v>80</v>
      </c>
      <c r="N24" s="223">
        <v>39</v>
      </c>
      <c r="O24" s="205">
        <v>3</v>
      </c>
      <c r="P24" s="203">
        <v>79</v>
      </c>
      <c r="Q24" s="204">
        <v>44</v>
      </c>
      <c r="R24" s="204">
        <v>3</v>
      </c>
      <c r="S24" s="203">
        <v>83</v>
      </c>
      <c r="T24" s="204">
        <v>31</v>
      </c>
      <c r="U24" s="205">
        <v>3</v>
      </c>
      <c r="V24" s="203">
        <f>D24+G24+J24+M24+P24+S24</f>
        <v>453</v>
      </c>
      <c r="W24" s="203">
        <f>E24+H24+K24+N24+Q24+T24</f>
        <v>206</v>
      </c>
      <c r="X24" s="203">
        <v>25</v>
      </c>
      <c r="Y24" s="204">
        <v>11</v>
      </c>
      <c r="Z24" s="206">
        <f>F24+I24+L24+O24+R24+U24</f>
        <v>17</v>
      </c>
    </row>
    <row r="25" spans="1:26" ht="15.6" x14ac:dyDescent="0.3">
      <c r="A25" s="201">
        <v>7</v>
      </c>
      <c r="B25" s="202" t="s">
        <v>60</v>
      </c>
      <c r="C25" s="207" t="s">
        <v>14</v>
      </c>
      <c r="D25" s="203">
        <v>105</v>
      </c>
      <c r="E25" s="204">
        <v>59</v>
      </c>
      <c r="F25" s="204">
        <v>4</v>
      </c>
      <c r="G25" s="203">
        <v>123</v>
      </c>
      <c r="H25" s="204">
        <v>54</v>
      </c>
      <c r="I25" s="204">
        <v>4</v>
      </c>
      <c r="J25" s="203">
        <v>116</v>
      </c>
      <c r="K25" s="204">
        <v>52</v>
      </c>
      <c r="L25" s="204">
        <v>4</v>
      </c>
      <c r="M25" s="203">
        <v>122</v>
      </c>
      <c r="N25" s="214">
        <v>60</v>
      </c>
      <c r="O25" s="199">
        <v>4</v>
      </c>
      <c r="P25" s="203">
        <v>113</v>
      </c>
      <c r="Q25" s="204">
        <v>53</v>
      </c>
      <c r="R25" s="204">
        <v>4</v>
      </c>
      <c r="S25" s="203">
        <v>105</v>
      </c>
      <c r="T25" s="204">
        <v>52</v>
      </c>
      <c r="U25" s="205">
        <v>4</v>
      </c>
      <c r="V25" s="203">
        <f>D25+G25+J25+M25+P25+S25</f>
        <v>684</v>
      </c>
      <c r="W25" s="203">
        <f>E25+H25+K25+N25+Q25+T25</f>
        <v>330</v>
      </c>
      <c r="X25" s="203">
        <v>37</v>
      </c>
      <c r="Y25" s="198">
        <v>19</v>
      </c>
      <c r="Z25" s="206">
        <f>F25+I25+L25+O25+R25+U25</f>
        <v>24</v>
      </c>
    </row>
    <row r="26" spans="1:26" ht="15.6" x14ac:dyDescent="0.3">
      <c r="A26" s="201">
        <v>8</v>
      </c>
      <c r="B26" s="202" t="s">
        <v>60</v>
      </c>
      <c r="C26" s="202" t="s">
        <v>16</v>
      </c>
      <c r="D26" s="203">
        <v>39</v>
      </c>
      <c r="E26" s="204">
        <v>21</v>
      </c>
      <c r="F26" s="204">
        <v>2</v>
      </c>
      <c r="G26" s="203">
        <v>39</v>
      </c>
      <c r="H26" s="204">
        <v>19</v>
      </c>
      <c r="I26" s="204">
        <v>2</v>
      </c>
      <c r="J26" s="203">
        <v>69</v>
      </c>
      <c r="K26" s="204">
        <v>33</v>
      </c>
      <c r="L26" s="204">
        <v>2</v>
      </c>
      <c r="M26" s="203">
        <v>57</v>
      </c>
      <c r="N26" s="214">
        <v>15</v>
      </c>
      <c r="O26" s="205">
        <v>2</v>
      </c>
      <c r="P26" s="203">
        <v>52</v>
      </c>
      <c r="Q26" s="204">
        <v>21</v>
      </c>
      <c r="R26" s="204">
        <v>2</v>
      </c>
      <c r="S26" s="203">
        <v>53</v>
      </c>
      <c r="T26" s="204">
        <v>19</v>
      </c>
      <c r="U26" s="205">
        <v>2</v>
      </c>
      <c r="V26" s="203">
        <f>D26+G26+J26+M26+P26+S26</f>
        <v>309</v>
      </c>
      <c r="W26" s="203">
        <f>E26+H26+K26+N26+Q26+T26</f>
        <v>128</v>
      </c>
      <c r="X26" s="203">
        <v>26</v>
      </c>
      <c r="Y26" s="204">
        <v>7</v>
      </c>
      <c r="Z26" s="206">
        <f>F26+I26+L26+O26+R26+U26</f>
        <v>12</v>
      </c>
    </row>
    <row r="27" spans="1:26" ht="16.2" thickBot="1" x14ac:dyDescent="0.35">
      <c r="A27" s="201">
        <v>9</v>
      </c>
      <c r="B27" s="202" t="s">
        <v>60</v>
      </c>
      <c r="C27" s="207" t="s">
        <v>17</v>
      </c>
      <c r="D27" s="203">
        <v>79</v>
      </c>
      <c r="E27" s="204">
        <v>43</v>
      </c>
      <c r="F27" s="204">
        <v>3</v>
      </c>
      <c r="G27" s="203">
        <v>93</v>
      </c>
      <c r="H27" s="204">
        <v>45</v>
      </c>
      <c r="I27" s="204">
        <v>3</v>
      </c>
      <c r="J27" s="203">
        <v>83</v>
      </c>
      <c r="K27" s="204">
        <v>34</v>
      </c>
      <c r="L27" s="204">
        <v>3</v>
      </c>
      <c r="M27" s="203">
        <v>115</v>
      </c>
      <c r="N27" s="214">
        <v>55</v>
      </c>
      <c r="O27" s="229">
        <v>4</v>
      </c>
      <c r="P27" s="203">
        <v>95</v>
      </c>
      <c r="Q27" s="204">
        <v>46</v>
      </c>
      <c r="R27" s="204">
        <v>3</v>
      </c>
      <c r="S27" s="203">
        <v>86</v>
      </c>
      <c r="T27" s="204">
        <v>40</v>
      </c>
      <c r="U27" s="229">
        <v>3</v>
      </c>
      <c r="V27" s="230">
        <f>D27+G27+J27+M27+P27+S27</f>
        <v>551</v>
      </c>
      <c r="W27" s="230">
        <f>E27+H27+K27+N27+Q27+T27</f>
        <v>263</v>
      </c>
      <c r="X27" s="230">
        <v>22</v>
      </c>
      <c r="Y27" s="231">
        <v>13</v>
      </c>
      <c r="Z27" s="206">
        <f>F27+I27+L27+O27+R27+U27</f>
        <v>19</v>
      </c>
    </row>
    <row r="28" spans="1:26" ht="16.2" thickBot="1" x14ac:dyDescent="0.35">
      <c r="A28" s="215"/>
      <c r="B28" s="216" t="s">
        <v>60</v>
      </c>
      <c r="C28" s="227" t="s">
        <v>33</v>
      </c>
      <c r="D28" s="209">
        <f t="shared" ref="D28:Z28" si="1">SUM(D19:D27)</f>
        <v>667</v>
      </c>
      <c r="E28" s="209">
        <f t="shared" si="1"/>
        <v>325</v>
      </c>
      <c r="F28" s="209">
        <f t="shared" si="1"/>
        <v>25</v>
      </c>
      <c r="G28" s="209">
        <f t="shared" si="1"/>
        <v>743</v>
      </c>
      <c r="H28" s="209">
        <f t="shared" si="1"/>
        <v>344</v>
      </c>
      <c r="I28" s="209">
        <f t="shared" si="1"/>
        <v>26</v>
      </c>
      <c r="J28" s="209">
        <f t="shared" si="1"/>
        <v>714</v>
      </c>
      <c r="K28" s="209">
        <f t="shared" si="1"/>
        <v>313</v>
      </c>
      <c r="L28" s="209">
        <f t="shared" si="1"/>
        <v>25</v>
      </c>
      <c r="M28" s="209">
        <f t="shared" si="1"/>
        <v>784</v>
      </c>
      <c r="N28" s="209">
        <f t="shared" si="1"/>
        <v>359</v>
      </c>
      <c r="O28" s="232">
        <f t="shared" si="1"/>
        <v>27</v>
      </c>
      <c r="P28" s="209">
        <f t="shared" si="1"/>
        <v>782</v>
      </c>
      <c r="Q28" s="209">
        <f t="shared" si="1"/>
        <v>367</v>
      </c>
      <c r="R28" s="209">
        <f t="shared" si="1"/>
        <v>27</v>
      </c>
      <c r="S28" s="209">
        <f t="shared" si="1"/>
        <v>743</v>
      </c>
      <c r="T28" s="209">
        <f t="shared" si="1"/>
        <v>371</v>
      </c>
      <c r="U28" s="232">
        <f t="shared" si="1"/>
        <v>27</v>
      </c>
      <c r="V28" s="211">
        <f t="shared" si="1"/>
        <v>4433</v>
      </c>
      <c r="W28" s="211">
        <f t="shared" si="1"/>
        <v>2079</v>
      </c>
      <c r="X28" s="209">
        <f t="shared" si="1"/>
        <v>305</v>
      </c>
      <c r="Y28" s="209">
        <f t="shared" si="1"/>
        <v>151</v>
      </c>
      <c r="Z28" s="212">
        <f t="shared" si="1"/>
        <v>157</v>
      </c>
    </row>
    <row r="29" spans="1:26" ht="18" thickBot="1" x14ac:dyDescent="0.3">
      <c r="A29" s="228" t="s">
        <v>59</v>
      </c>
      <c r="V29" s="233"/>
      <c r="W29" s="233"/>
      <c r="Z29" s="233"/>
    </row>
    <row r="30" spans="1:26" ht="16.8" x14ac:dyDescent="0.3">
      <c r="A30" s="217">
        <v>1</v>
      </c>
      <c r="B30" s="235" t="s">
        <v>67</v>
      </c>
      <c r="C30" s="236" t="s">
        <v>68</v>
      </c>
      <c r="D30" s="213">
        <f>28+27+29</f>
        <v>84</v>
      </c>
      <c r="E30" s="219">
        <f>15+11+14</f>
        <v>40</v>
      </c>
      <c r="F30" s="219">
        <v>3</v>
      </c>
      <c r="G30" s="213">
        <f>30+32+31</f>
        <v>93</v>
      </c>
      <c r="H30" s="219">
        <f>13+14+12</f>
        <v>39</v>
      </c>
      <c r="I30" s="219">
        <v>3</v>
      </c>
      <c r="J30" s="213">
        <f>32+32+1+32</f>
        <v>97</v>
      </c>
      <c r="K30" s="219">
        <f>16+16+0+15</f>
        <v>47</v>
      </c>
      <c r="L30" s="219">
        <v>3</v>
      </c>
      <c r="M30" s="213">
        <f>27+1+30+31</f>
        <v>89</v>
      </c>
      <c r="N30" s="220">
        <f>9+0+15+12</f>
        <v>36</v>
      </c>
      <c r="O30" s="220">
        <v>3</v>
      </c>
      <c r="P30" s="213">
        <f>31+32+32</f>
        <v>95</v>
      </c>
      <c r="Q30" s="219">
        <f>18+19+13</f>
        <v>50</v>
      </c>
      <c r="R30" s="219">
        <v>3</v>
      </c>
      <c r="S30" s="213">
        <f>33+31+33</f>
        <v>97</v>
      </c>
      <c r="T30" s="219">
        <f>15+13+16</f>
        <v>44</v>
      </c>
      <c r="U30" s="220">
        <v>3</v>
      </c>
      <c r="V30" s="197">
        <f>D30+G30+J30+M30+P30+S30</f>
        <v>555</v>
      </c>
      <c r="W30" s="197">
        <f>E30+H30+K30+N30+Q30+T30</f>
        <v>256</v>
      </c>
      <c r="X30" s="213">
        <v>22</v>
      </c>
      <c r="Y30" s="219">
        <v>12</v>
      </c>
      <c r="Z30" s="200">
        <f>F30+I30+L30+O30+R30+U30</f>
        <v>18</v>
      </c>
    </row>
    <row r="31" spans="1:26" ht="16.8" x14ac:dyDescent="0.3">
      <c r="A31" s="201">
        <v>2</v>
      </c>
      <c r="B31" s="237" t="s">
        <v>67</v>
      </c>
      <c r="C31" s="238" t="s">
        <v>69</v>
      </c>
      <c r="D31" s="203">
        <f>31+19+1+2</f>
        <v>53</v>
      </c>
      <c r="E31" s="204">
        <f>12+8+0+0</f>
        <v>20</v>
      </c>
      <c r="F31" s="204">
        <v>2</v>
      </c>
      <c r="G31" s="203">
        <f>29+1+18+1+6</f>
        <v>55</v>
      </c>
      <c r="H31" s="204">
        <f>17+0+8+0+3</f>
        <v>28</v>
      </c>
      <c r="I31" s="204">
        <v>2</v>
      </c>
      <c r="J31" s="203">
        <f>28+1+28+1+29</f>
        <v>87</v>
      </c>
      <c r="K31" s="204">
        <f>15+1+12+0+15</f>
        <v>43</v>
      </c>
      <c r="L31" s="204">
        <v>3</v>
      </c>
      <c r="M31" s="203">
        <f>27</f>
        <v>27</v>
      </c>
      <c r="N31" s="214">
        <f>16</f>
        <v>16</v>
      </c>
      <c r="O31" s="199">
        <v>1</v>
      </c>
      <c r="P31" s="203">
        <f>31+30</f>
        <v>61</v>
      </c>
      <c r="Q31" s="204">
        <f>10+9</f>
        <v>19</v>
      </c>
      <c r="R31" s="204">
        <v>2</v>
      </c>
      <c r="S31" s="203">
        <f>30+28</f>
        <v>58</v>
      </c>
      <c r="T31" s="204">
        <f>10+13</f>
        <v>23</v>
      </c>
      <c r="U31" s="205">
        <v>2</v>
      </c>
      <c r="V31" s="203">
        <f>D31+G31+J31+M31+P31+S31</f>
        <v>341</v>
      </c>
      <c r="W31" s="203">
        <f>E31+H31+K31+N31+Q31+T31</f>
        <v>149</v>
      </c>
      <c r="X31" s="203">
        <v>34</v>
      </c>
      <c r="Y31" s="198">
        <v>19</v>
      </c>
      <c r="Z31" s="206">
        <f>F31+I31+L31+O31+R31+U31</f>
        <v>12</v>
      </c>
    </row>
    <row r="32" spans="1:26" ht="44.4" x14ac:dyDescent="0.3">
      <c r="A32" s="201">
        <v>3</v>
      </c>
      <c r="B32" s="239" t="s">
        <v>67</v>
      </c>
      <c r="C32" s="238" t="s">
        <v>76</v>
      </c>
      <c r="D32" s="203">
        <f>22+3+24+24+1</f>
        <v>74</v>
      </c>
      <c r="E32" s="204">
        <f>12+0+14+15+0</f>
        <v>41</v>
      </c>
      <c r="F32" s="204">
        <v>3</v>
      </c>
      <c r="G32" s="203">
        <f>25+2+25+1+1+1+23</f>
        <v>78</v>
      </c>
      <c r="H32" s="204">
        <f>10+0+11+0+0+1+8</f>
        <v>30</v>
      </c>
      <c r="I32" s="204">
        <v>3</v>
      </c>
      <c r="J32" s="203">
        <f>29+1+1+1+28</f>
        <v>60</v>
      </c>
      <c r="K32" s="204">
        <f>16+0+0+0+0+15</f>
        <v>31</v>
      </c>
      <c r="L32" s="204">
        <v>2</v>
      </c>
      <c r="M32" s="203">
        <f>24+2+29+27</f>
        <v>82</v>
      </c>
      <c r="N32" s="214">
        <f>12+0+12+14</f>
        <v>38</v>
      </c>
      <c r="O32" s="205">
        <v>3</v>
      </c>
      <c r="P32" s="203">
        <f>30+29+29+1</f>
        <v>89</v>
      </c>
      <c r="Q32" s="204">
        <f>17+14+13+0</f>
        <v>44</v>
      </c>
      <c r="R32" s="204">
        <v>3</v>
      </c>
      <c r="S32" s="203">
        <f>25+23+23</f>
        <v>71</v>
      </c>
      <c r="T32" s="204">
        <f>11+11+10</f>
        <v>32</v>
      </c>
      <c r="U32" s="205">
        <v>3</v>
      </c>
      <c r="V32" s="203">
        <f>D32+G32+J32+M32+P32+S32</f>
        <v>454</v>
      </c>
      <c r="W32" s="203">
        <f>E32+H32+K32+N32+Q32+T32</f>
        <v>216</v>
      </c>
      <c r="X32" s="203">
        <v>67</v>
      </c>
      <c r="Y32" s="204">
        <v>33</v>
      </c>
      <c r="Z32" s="206">
        <f>F32+I32+L32+O32+R32+U32</f>
        <v>17</v>
      </c>
    </row>
    <row r="33" spans="1:26" ht="30.6" x14ac:dyDescent="0.3">
      <c r="A33" s="201">
        <v>4</v>
      </c>
      <c r="B33" s="239" t="s">
        <v>67</v>
      </c>
      <c r="C33" s="238" t="s">
        <v>70</v>
      </c>
      <c r="D33" s="203">
        <f>19+3+3+29+29+1</f>
        <v>84</v>
      </c>
      <c r="E33" s="204">
        <f>7+0+2+12+17+0</f>
        <v>38</v>
      </c>
      <c r="F33" s="204">
        <v>3</v>
      </c>
      <c r="G33" s="203">
        <f>32+29+27</f>
        <v>88</v>
      </c>
      <c r="H33" s="204">
        <f>19+15+12</f>
        <v>46</v>
      </c>
      <c r="I33" s="204">
        <v>3</v>
      </c>
      <c r="J33" s="203">
        <f>28+27+30</f>
        <v>85</v>
      </c>
      <c r="K33" s="204">
        <f>10+10+11</f>
        <v>31</v>
      </c>
      <c r="L33" s="204">
        <v>3</v>
      </c>
      <c r="M33" s="203">
        <f>31+28+30</f>
        <v>89</v>
      </c>
      <c r="N33" s="223">
        <f>14+13+15</f>
        <v>42</v>
      </c>
      <c r="O33" s="205">
        <v>3</v>
      </c>
      <c r="P33" s="203">
        <f>32+32</f>
        <v>64</v>
      </c>
      <c r="Q33" s="204">
        <f>19+15</f>
        <v>34</v>
      </c>
      <c r="R33" s="204">
        <v>2</v>
      </c>
      <c r="S33" s="203">
        <f>30+32+31</f>
        <v>93</v>
      </c>
      <c r="T33" s="204">
        <f>17+20+17</f>
        <v>54</v>
      </c>
      <c r="U33" s="205">
        <v>3</v>
      </c>
      <c r="V33" s="203">
        <f>D33+G33+J33+M33+P33+S33</f>
        <v>503</v>
      </c>
      <c r="W33" s="203">
        <f>E33+H33+K33+N33+Q33+T33</f>
        <v>245</v>
      </c>
      <c r="X33" s="203">
        <v>43</v>
      </c>
      <c r="Y33" s="204">
        <v>17</v>
      </c>
      <c r="Z33" s="206">
        <f>F33+I33+L33+O33+R33+U33</f>
        <v>17</v>
      </c>
    </row>
    <row r="34" spans="1:26" ht="15.6" x14ac:dyDescent="0.3">
      <c r="A34" s="201">
        <v>5</v>
      </c>
      <c r="B34" s="240" t="s">
        <v>67</v>
      </c>
      <c r="C34" s="238" t="s">
        <v>71</v>
      </c>
      <c r="D34" s="203">
        <f>24+24+24</f>
        <v>72</v>
      </c>
      <c r="E34" s="204">
        <f>11+11+11</f>
        <v>33</v>
      </c>
      <c r="F34" s="204">
        <v>3</v>
      </c>
      <c r="G34" s="203">
        <f>29+28+29</f>
        <v>86</v>
      </c>
      <c r="H34" s="204">
        <f>12+14+10</f>
        <v>36</v>
      </c>
      <c r="I34" s="204">
        <v>3</v>
      </c>
      <c r="J34" s="203">
        <f>29+29+29</f>
        <v>87</v>
      </c>
      <c r="K34" s="204">
        <f>15+13+12</f>
        <v>40</v>
      </c>
      <c r="L34" s="204">
        <v>3</v>
      </c>
      <c r="M34" s="203">
        <f>28+31+30</f>
        <v>89</v>
      </c>
      <c r="N34" s="223">
        <f>9+13+13</f>
        <v>35</v>
      </c>
      <c r="O34" s="205">
        <v>3</v>
      </c>
      <c r="P34" s="203">
        <f>29+28+29+29</f>
        <v>115</v>
      </c>
      <c r="Q34" s="204">
        <f>15+15+12+11</f>
        <v>53</v>
      </c>
      <c r="R34" s="204">
        <v>4</v>
      </c>
      <c r="S34" s="203">
        <f>27+28+28+27</f>
        <v>110</v>
      </c>
      <c r="T34" s="204">
        <f>10+13+14+9</f>
        <v>46</v>
      </c>
      <c r="U34" s="205">
        <v>4</v>
      </c>
      <c r="V34" s="203">
        <f>D34+G34+J34+M34+P34+S34</f>
        <v>559</v>
      </c>
      <c r="W34" s="203">
        <f>E34+H34+K34+N34+Q34+T34</f>
        <v>243</v>
      </c>
      <c r="X34" s="203">
        <v>43</v>
      </c>
      <c r="Y34" s="204">
        <v>19</v>
      </c>
      <c r="Z34" s="206">
        <f>F34+I34+L34+O34+R34+U34</f>
        <v>20</v>
      </c>
    </row>
    <row r="35" spans="1:26" ht="42" x14ac:dyDescent="0.3">
      <c r="A35" s="201">
        <v>6</v>
      </c>
      <c r="B35" s="241" t="s">
        <v>67</v>
      </c>
      <c r="C35" s="238" t="s">
        <v>47</v>
      </c>
      <c r="D35" s="242"/>
      <c r="E35" s="242"/>
      <c r="F35" s="242"/>
      <c r="G35" s="203">
        <f>27+28</f>
        <v>55</v>
      </c>
      <c r="H35" s="204">
        <f>11+12</f>
        <v>23</v>
      </c>
      <c r="I35" s="204">
        <v>2</v>
      </c>
      <c r="J35" s="203">
        <f>27+30+25</f>
        <v>82</v>
      </c>
      <c r="K35" s="204">
        <f>9+14+15</f>
        <v>38</v>
      </c>
      <c r="L35" s="204">
        <v>3</v>
      </c>
      <c r="M35" s="203">
        <f>29+29+28</f>
        <v>86</v>
      </c>
      <c r="N35" s="223">
        <f>10+18+10</f>
        <v>38</v>
      </c>
      <c r="O35" s="205">
        <v>3</v>
      </c>
      <c r="P35" s="203">
        <f>23+21+27</f>
        <v>71</v>
      </c>
      <c r="Q35" s="204">
        <f>11+12+14</f>
        <v>37</v>
      </c>
      <c r="R35" s="204">
        <v>3</v>
      </c>
      <c r="S35" s="203">
        <f>29+23+25</f>
        <v>77</v>
      </c>
      <c r="T35" s="204">
        <f>16+13+15</f>
        <v>44</v>
      </c>
      <c r="U35" s="205">
        <v>3</v>
      </c>
      <c r="V35" s="203">
        <f>D35+G35+J35+M35+P35+S35</f>
        <v>371</v>
      </c>
      <c r="W35" s="203">
        <f>E35+H35+K35+N35+Q35+T35</f>
        <v>180</v>
      </c>
      <c r="X35" s="203">
        <v>19</v>
      </c>
      <c r="Y35" s="204">
        <v>9</v>
      </c>
      <c r="Z35" s="206">
        <f>F35+I35+L35+O35+R35+U35</f>
        <v>14</v>
      </c>
    </row>
    <row r="36" spans="1:26" ht="15.6" x14ac:dyDescent="0.3">
      <c r="A36" s="201">
        <v>7</v>
      </c>
      <c r="B36" s="241" t="s">
        <v>67</v>
      </c>
      <c r="C36" s="238" t="s">
        <v>14</v>
      </c>
      <c r="D36" s="203">
        <f>29+28+28</f>
        <v>85</v>
      </c>
      <c r="E36" s="204">
        <f>14+19+12</f>
        <v>45</v>
      </c>
      <c r="F36" s="204">
        <v>3</v>
      </c>
      <c r="G36" s="203">
        <f>28+28+27+27</f>
        <v>110</v>
      </c>
      <c r="H36" s="204">
        <f>17+14+14+14</f>
        <v>59</v>
      </c>
      <c r="I36" s="204">
        <v>4</v>
      </c>
      <c r="J36" s="203">
        <f>29+30+28+29</f>
        <v>116</v>
      </c>
      <c r="K36" s="204">
        <f>14+15+17+14</f>
        <v>60</v>
      </c>
      <c r="L36" s="204">
        <v>4</v>
      </c>
      <c r="M36" s="203">
        <f>30+32+32+32</f>
        <v>126</v>
      </c>
      <c r="N36" s="214">
        <f>14+16+15+14</f>
        <v>59</v>
      </c>
      <c r="O36" s="199">
        <v>4</v>
      </c>
      <c r="P36" s="203">
        <f>29+27+28+31</f>
        <v>115</v>
      </c>
      <c r="Q36" s="204">
        <f>13+10+13+20</f>
        <v>56</v>
      </c>
      <c r="R36" s="204">
        <v>4</v>
      </c>
      <c r="S36" s="203">
        <f>26+28+29+29</f>
        <v>112</v>
      </c>
      <c r="T36" s="204">
        <f>13+16+14+11</f>
        <v>54</v>
      </c>
      <c r="U36" s="205">
        <v>4</v>
      </c>
      <c r="V36" s="203">
        <f>D36+G36+J36+M36+P36+S36</f>
        <v>664</v>
      </c>
      <c r="W36" s="203">
        <f>E36+H36+K36+N36+Q36+T36</f>
        <v>333</v>
      </c>
      <c r="X36" s="203">
        <v>33</v>
      </c>
      <c r="Y36" s="198">
        <v>17</v>
      </c>
      <c r="Z36" s="206">
        <f>F36+I36+L36+O36+R36+U36</f>
        <v>23</v>
      </c>
    </row>
    <row r="37" spans="1:26" ht="15.6" x14ac:dyDescent="0.3">
      <c r="A37" s="201">
        <v>8</v>
      </c>
      <c r="B37" s="241" t="s">
        <v>67</v>
      </c>
      <c r="C37" s="240" t="s">
        <v>16</v>
      </c>
      <c r="D37" s="242"/>
      <c r="E37" s="242"/>
      <c r="F37" s="242"/>
      <c r="G37" s="203">
        <f>22+21</f>
        <v>43</v>
      </c>
      <c r="H37" s="204">
        <f>13+7</f>
        <v>20</v>
      </c>
      <c r="I37" s="204">
        <v>2</v>
      </c>
      <c r="J37" s="203">
        <f>21+20</f>
        <v>41</v>
      </c>
      <c r="K37" s="204">
        <f>11+7</f>
        <v>18</v>
      </c>
      <c r="L37" s="204">
        <v>2</v>
      </c>
      <c r="M37" s="203">
        <f>27+27+26</f>
        <v>80</v>
      </c>
      <c r="N37" s="214">
        <f>14+12+9</f>
        <v>35</v>
      </c>
      <c r="O37" s="205">
        <v>3</v>
      </c>
      <c r="P37" s="203">
        <f>30+28</f>
        <v>58</v>
      </c>
      <c r="Q37" s="204">
        <f>16+0</f>
        <v>16</v>
      </c>
      <c r="R37" s="204">
        <v>2</v>
      </c>
      <c r="S37" s="203">
        <f>25+25</f>
        <v>50</v>
      </c>
      <c r="T37" s="204">
        <f>11+11</f>
        <v>22</v>
      </c>
      <c r="U37" s="205">
        <v>2</v>
      </c>
      <c r="V37" s="203">
        <f>D37+G37+J37+M37+P37+S37</f>
        <v>272</v>
      </c>
      <c r="W37" s="203">
        <f>E37+H37+K37+N37+Q37+T37</f>
        <v>111</v>
      </c>
      <c r="X37" s="203">
        <v>23</v>
      </c>
      <c r="Y37" s="204">
        <v>6</v>
      </c>
      <c r="Z37" s="206">
        <f>F37+I37+L37+O37+R37+U37</f>
        <v>11</v>
      </c>
    </row>
    <row r="38" spans="1:26" ht="17.399999999999999" thickBot="1" x14ac:dyDescent="0.35">
      <c r="A38" s="201">
        <v>9</v>
      </c>
      <c r="B38" s="241" t="s">
        <v>67</v>
      </c>
      <c r="C38" s="238" t="s">
        <v>75</v>
      </c>
      <c r="D38" s="203">
        <f>30+28+29</f>
        <v>87</v>
      </c>
      <c r="E38" s="204">
        <f>15+13+14</f>
        <v>42</v>
      </c>
      <c r="F38" s="204">
        <v>3</v>
      </c>
      <c r="G38" s="203">
        <f>28+28+24</f>
        <v>80</v>
      </c>
      <c r="H38" s="204">
        <f>12+16+13</f>
        <v>41</v>
      </c>
      <c r="I38" s="204">
        <v>3</v>
      </c>
      <c r="J38" s="203">
        <f>30+28+29</f>
        <v>87</v>
      </c>
      <c r="K38" s="204">
        <f>14+14+14</f>
        <v>42</v>
      </c>
      <c r="L38" s="204">
        <v>3</v>
      </c>
      <c r="M38" s="203">
        <f>31+31+31+1</f>
        <v>94</v>
      </c>
      <c r="N38" s="214">
        <f>9+15+16</f>
        <v>40</v>
      </c>
      <c r="O38" s="229">
        <v>3</v>
      </c>
      <c r="P38" s="203">
        <f>32+31+31+29</f>
        <v>123</v>
      </c>
      <c r="Q38" s="204">
        <f>16+13+13+11</f>
        <v>53</v>
      </c>
      <c r="R38" s="204">
        <v>4</v>
      </c>
      <c r="S38" s="203">
        <f>29+30+30</f>
        <v>89</v>
      </c>
      <c r="T38" s="204">
        <f>12+14+15</f>
        <v>41</v>
      </c>
      <c r="U38" s="229">
        <v>3</v>
      </c>
      <c r="V38" s="230">
        <f>D38+G38+J38+M38+P38+S38</f>
        <v>560</v>
      </c>
      <c r="W38" s="230">
        <f>E38+H38+K38+N38+Q38+T38</f>
        <v>259</v>
      </c>
      <c r="X38" s="230">
        <v>35</v>
      </c>
      <c r="Y38" s="231">
        <v>19</v>
      </c>
      <c r="Z38" s="206">
        <f>F38+I38+L38+O38+R38+U38</f>
        <v>19</v>
      </c>
    </row>
    <row r="39" spans="1:26" ht="16.2" thickBot="1" x14ac:dyDescent="0.35">
      <c r="A39" s="215"/>
      <c r="B39" s="216" t="s">
        <v>67</v>
      </c>
      <c r="C39" s="227" t="s">
        <v>33</v>
      </c>
      <c r="D39" s="209">
        <f t="shared" ref="D39:Z39" si="2">SUM(D30:D38)</f>
        <v>539</v>
      </c>
      <c r="E39" s="209">
        <f t="shared" si="2"/>
        <v>259</v>
      </c>
      <c r="F39" s="209">
        <f t="shared" si="2"/>
        <v>20</v>
      </c>
      <c r="G39" s="209">
        <f t="shared" si="2"/>
        <v>688</v>
      </c>
      <c r="H39" s="209">
        <f t="shared" si="2"/>
        <v>322</v>
      </c>
      <c r="I39" s="209">
        <f t="shared" si="2"/>
        <v>25</v>
      </c>
      <c r="J39" s="209">
        <f t="shared" si="2"/>
        <v>742</v>
      </c>
      <c r="K39" s="209">
        <f t="shared" si="2"/>
        <v>350</v>
      </c>
      <c r="L39" s="209">
        <f t="shared" si="2"/>
        <v>26</v>
      </c>
      <c r="M39" s="209">
        <f t="shared" si="2"/>
        <v>762</v>
      </c>
      <c r="N39" s="209">
        <f t="shared" si="2"/>
        <v>339</v>
      </c>
      <c r="O39" s="232">
        <f t="shared" si="2"/>
        <v>26</v>
      </c>
      <c r="P39" s="209">
        <f t="shared" si="2"/>
        <v>791</v>
      </c>
      <c r="Q39" s="209">
        <f t="shared" si="2"/>
        <v>362</v>
      </c>
      <c r="R39" s="209">
        <f t="shared" si="2"/>
        <v>27</v>
      </c>
      <c r="S39" s="209">
        <f t="shared" si="2"/>
        <v>757</v>
      </c>
      <c r="T39" s="209">
        <f t="shared" si="2"/>
        <v>360</v>
      </c>
      <c r="U39" s="232">
        <f t="shared" si="2"/>
        <v>27</v>
      </c>
      <c r="V39" s="211">
        <f t="shared" si="2"/>
        <v>4279</v>
      </c>
      <c r="W39" s="211">
        <f t="shared" si="2"/>
        <v>1992</v>
      </c>
      <c r="X39" s="209">
        <f t="shared" si="2"/>
        <v>319</v>
      </c>
      <c r="Y39" s="209">
        <f t="shared" si="2"/>
        <v>151</v>
      </c>
      <c r="Z39" s="212">
        <f t="shared" si="2"/>
        <v>151</v>
      </c>
    </row>
    <row r="40" spans="1:26" ht="15.6" x14ac:dyDescent="0.25">
      <c r="A40" s="243" t="s">
        <v>72</v>
      </c>
    </row>
    <row r="41" spans="1:26" ht="15.6" x14ac:dyDescent="0.25">
      <c r="A41" s="243" t="s">
        <v>73</v>
      </c>
    </row>
    <row r="42" spans="1:26" ht="15.6" x14ac:dyDescent="0.25">
      <c r="A42" s="243" t="s">
        <v>74</v>
      </c>
    </row>
    <row r="43" spans="1:26" ht="16.2" thickBot="1" x14ac:dyDescent="0.3">
      <c r="A43" s="243" t="s">
        <v>87</v>
      </c>
      <c r="V43" s="244"/>
      <c r="W43" s="244"/>
      <c r="Z43" s="244"/>
    </row>
    <row r="44" spans="1:26" ht="16.8" x14ac:dyDescent="0.3">
      <c r="A44" s="221">
        <v>1</v>
      </c>
      <c r="B44" s="235" t="s">
        <v>77</v>
      </c>
      <c r="C44" s="236" t="s">
        <v>68</v>
      </c>
      <c r="D44" s="213">
        <f>31+30+30+1</f>
        <v>92</v>
      </c>
      <c r="E44" s="219">
        <f>11+13+12+0</f>
        <v>36</v>
      </c>
      <c r="F44" s="219">
        <v>3</v>
      </c>
      <c r="G44" s="213">
        <f>28+27+28+1</f>
        <v>84</v>
      </c>
      <c r="H44" s="219">
        <f>17+10+13+0</f>
        <v>40</v>
      </c>
      <c r="I44" s="219">
        <v>3</v>
      </c>
      <c r="J44" s="213">
        <f>31+32+32</f>
        <v>95</v>
      </c>
      <c r="K44" s="219">
        <f>13+15+12</f>
        <v>40</v>
      </c>
      <c r="L44" s="219">
        <v>3</v>
      </c>
      <c r="M44" s="213">
        <f>32+31+32</f>
        <v>95</v>
      </c>
      <c r="N44" s="220">
        <f>17+16+16</f>
        <v>49</v>
      </c>
      <c r="O44" s="220">
        <v>3</v>
      </c>
      <c r="P44" s="213">
        <f>30+1+33+32</f>
        <v>96</v>
      </c>
      <c r="Q44" s="219">
        <f>10+0+17+12</f>
        <v>39</v>
      </c>
      <c r="R44" s="219">
        <v>3</v>
      </c>
      <c r="S44" s="213">
        <f>31+31+31</f>
        <v>93</v>
      </c>
      <c r="T44" s="219">
        <f>18+18+14</f>
        <v>50</v>
      </c>
      <c r="U44" s="220">
        <v>3</v>
      </c>
      <c r="V44" s="203">
        <f>D44+G44+J44+M44+P44+S44</f>
        <v>555</v>
      </c>
      <c r="W44" s="203">
        <f>E44+H44+K44+N44+Q44+T44</f>
        <v>254</v>
      </c>
      <c r="X44" s="213">
        <v>19</v>
      </c>
      <c r="Y44" s="219">
        <v>9</v>
      </c>
      <c r="Z44" s="200">
        <f>F44+I44+L44+O44+R44+U44</f>
        <v>18</v>
      </c>
    </row>
    <row r="45" spans="1:26" ht="16.8" x14ac:dyDescent="0.3">
      <c r="A45" s="222">
        <v>2</v>
      </c>
      <c r="B45" s="240" t="s">
        <v>77</v>
      </c>
      <c r="C45" s="238" t="s">
        <v>69</v>
      </c>
      <c r="D45" s="203">
        <f>21+17+1+4</f>
        <v>43</v>
      </c>
      <c r="E45" s="204">
        <f>7+7+0+1</f>
        <v>15</v>
      </c>
      <c r="F45" s="204">
        <v>2</v>
      </c>
      <c r="G45" s="203">
        <f>31+18+2+2</f>
        <v>53</v>
      </c>
      <c r="H45" s="204">
        <f>12+8+0+0</f>
        <v>20</v>
      </c>
      <c r="I45" s="204">
        <v>2</v>
      </c>
      <c r="J45" s="203">
        <f>29+18+1+6</f>
        <v>54</v>
      </c>
      <c r="K45" s="204">
        <f>17+7+0+3</f>
        <v>27</v>
      </c>
      <c r="L45" s="204">
        <v>2</v>
      </c>
      <c r="M45" s="203">
        <f>27+2+29+30</f>
        <v>88</v>
      </c>
      <c r="N45" s="214">
        <f>13+1+12+16</f>
        <v>42</v>
      </c>
      <c r="O45" s="199">
        <v>3</v>
      </c>
      <c r="P45" s="203">
        <f>29</f>
        <v>29</v>
      </c>
      <c r="Q45" s="204">
        <v>16</v>
      </c>
      <c r="R45" s="204">
        <v>1</v>
      </c>
      <c r="S45" s="203">
        <f>30+28</f>
        <v>58</v>
      </c>
      <c r="T45" s="204">
        <f>10+7</f>
        <v>17</v>
      </c>
      <c r="U45" s="205">
        <v>2</v>
      </c>
      <c r="V45" s="203">
        <f>D45+G45+J45+M45+P45+S45</f>
        <v>325</v>
      </c>
      <c r="W45" s="203">
        <f>E45+H45+K45+N45+Q45+T45</f>
        <v>137</v>
      </c>
      <c r="X45" s="203">
        <v>26</v>
      </c>
      <c r="Y45" s="198">
        <v>14</v>
      </c>
      <c r="Z45" s="206">
        <f>F45+I45+L45+O45+R45+U45</f>
        <v>12</v>
      </c>
    </row>
    <row r="46" spans="1:26" ht="44.4" x14ac:dyDescent="0.3">
      <c r="A46" s="222">
        <v>3</v>
      </c>
      <c r="B46" s="240" t="s">
        <v>77</v>
      </c>
      <c r="C46" s="238" t="s">
        <v>82</v>
      </c>
      <c r="D46" s="203">
        <f>24+24+1+24</f>
        <v>73</v>
      </c>
      <c r="E46" s="204">
        <f>8+12+0+14</f>
        <v>34</v>
      </c>
      <c r="F46" s="204">
        <v>3</v>
      </c>
      <c r="G46" s="203">
        <f>22+3+25+1+25+1+1</f>
        <v>78</v>
      </c>
      <c r="H46" s="204">
        <f>11+0+14+0+13+0+0</f>
        <v>38</v>
      </c>
      <c r="I46" s="204">
        <v>3</v>
      </c>
      <c r="J46" s="203">
        <f>24+24+1+22+1+1</f>
        <v>73</v>
      </c>
      <c r="K46" s="204">
        <f>10+10+8+1</f>
        <v>29</v>
      </c>
      <c r="L46" s="204">
        <v>3</v>
      </c>
      <c r="M46" s="203">
        <f>26+27+2+1</f>
        <v>56</v>
      </c>
      <c r="N46" s="214">
        <f>16+15</f>
        <v>31</v>
      </c>
      <c r="O46" s="205">
        <v>2</v>
      </c>
      <c r="P46" s="203">
        <f>24+1+28+28</f>
        <v>81</v>
      </c>
      <c r="Q46" s="204">
        <f>11+0+11+18</f>
        <v>40</v>
      </c>
      <c r="R46" s="204">
        <v>3</v>
      </c>
      <c r="S46" s="203">
        <f>29+29+26+1</f>
        <v>85</v>
      </c>
      <c r="T46" s="204">
        <f>17+14+10+0</f>
        <v>41</v>
      </c>
      <c r="U46" s="205">
        <v>3</v>
      </c>
      <c r="V46" s="203">
        <f>D46+G46+J46+M46+P46+S46</f>
        <v>446</v>
      </c>
      <c r="W46" s="203">
        <f>E46+H46+K46+N46+Q46+T46</f>
        <v>213</v>
      </c>
      <c r="X46" s="203">
        <v>64</v>
      </c>
      <c r="Y46" s="204">
        <v>31</v>
      </c>
      <c r="Z46" s="206">
        <f>F46+I46+L46+O46+R46+U46</f>
        <v>17</v>
      </c>
    </row>
    <row r="47" spans="1:26" ht="30.6" x14ac:dyDescent="0.3">
      <c r="A47" s="222">
        <v>4</v>
      </c>
      <c r="B47" s="240" t="s">
        <v>77</v>
      </c>
      <c r="C47" s="238" t="s">
        <v>83</v>
      </c>
      <c r="D47" s="203">
        <f>16+6+24+25+22</f>
        <v>93</v>
      </c>
      <c r="E47" s="204">
        <f>7+5+13+10+9</f>
        <v>44</v>
      </c>
      <c r="F47" s="204">
        <v>4</v>
      </c>
      <c r="G47" s="203">
        <f>20+3+3+29+29</f>
        <v>84</v>
      </c>
      <c r="H47" s="204">
        <f>7+2+11+17</f>
        <v>37</v>
      </c>
      <c r="I47" s="204">
        <v>3</v>
      </c>
      <c r="J47" s="203">
        <f>31+31+31</f>
        <v>93</v>
      </c>
      <c r="K47" s="204">
        <f>19+14+12</f>
        <v>45</v>
      </c>
      <c r="L47" s="204">
        <v>3</v>
      </c>
      <c r="M47" s="203">
        <f>29+27+30</f>
        <v>86</v>
      </c>
      <c r="N47" s="223">
        <f>10+10+11</f>
        <v>31</v>
      </c>
      <c r="O47" s="205">
        <v>3</v>
      </c>
      <c r="P47" s="203">
        <f>31+28+31</f>
        <v>90</v>
      </c>
      <c r="Q47" s="204">
        <f>14+13+16</f>
        <v>43</v>
      </c>
      <c r="R47" s="204">
        <v>3</v>
      </c>
      <c r="S47" s="203">
        <f>32+32</f>
        <v>64</v>
      </c>
      <c r="T47" s="204">
        <f>19+15</f>
        <v>34</v>
      </c>
      <c r="U47" s="205">
        <v>2</v>
      </c>
      <c r="V47" s="203">
        <f>D47+G47+J47+M47+P47+S47</f>
        <v>510</v>
      </c>
      <c r="W47" s="203">
        <f>E47+H47+K47+N47+Q47+T47</f>
        <v>234</v>
      </c>
      <c r="X47" s="203">
        <v>35</v>
      </c>
      <c r="Y47" s="204">
        <v>17</v>
      </c>
      <c r="Z47" s="206">
        <f>F47+I47+L47+O47+R47+U47</f>
        <v>18</v>
      </c>
    </row>
    <row r="48" spans="1:26" ht="15.6" x14ac:dyDescent="0.3">
      <c r="A48" s="222">
        <v>5</v>
      </c>
      <c r="B48" s="240" t="s">
        <v>77</v>
      </c>
      <c r="C48" s="238" t="s">
        <v>71</v>
      </c>
      <c r="D48" s="203">
        <f>28+29+27</f>
        <v>84</v>
      </c>
      <c r="E48" s="204">
        <f>12+13+12</f>
        <v>37</v>
      </c>
      <c r="F48" s="204">
        <v>3</v>
      </c>
      <c r="G48" s="203">
        <f>25+26+25</f>
        <v>76</v>
      </c>
      <c r="H48" s="204">
        <f>9+11+12</f>
        <v>32</v>
      </c>
      <c r="I48" s="204">
        <v>3</v>
      </c>
      <c r="J48" s="203">
        <f>28+30+28</f>
        <v>86</v>
      </c>
      <c r="K48" s="204">
        <f>11+15+12</f>
        <v>38</v>
      </c>
      <c r="L48" s="204">
        <v>3</v>
      </c>
      <c r="M48" s="203">
        <f>30+30+28</f>
        <v>88</v>
      </c>
      <c r="N48" s="223">
        <f>15+13+13</f>
        <v>41</v>
      </c>
      <c r="O48" s="205">
        <v>3</v>
      </c>
      <c r="P48" s="203">
        <f>29+30+30</f>
        <v>89</v>
      </c>
      <c r="Q48" s="204">
        <f>10+14+14</f>
        <v>38</v>
      </c>
      <c r="R48" s="204">
        <v>3</v>
      </c>
      <c r="S48" s="203">
        <f>28+25+29+27</f>
        <v>109</v>
      </c>
      <c r="T48" s="204">
        <f>14+14+12+10</f>
        <v>50</v>
      </c>
      <c r="U48" s="205">
        <v>4</v>
      </c>
      <c r="V48" s="203">
        <f>D48+G48+J48+M48+P48+S48</f>
        <v>532</v>
      </c>
      <c r="W48" s="203">
        <f>E48+H48+K48+N48+Q48+T48</f>
        <v>236</v>
      </c>
      <c r="X48" s="203">
        <v>46</v>
      </c>
      <c r="Y48" s="204">
        <v>20</v>
      </c>
      <c r="Z48" s="206">
        <f>F48+I48+L48+O48+R48+U48</f>
        <v>19</v>
      </c>
    </row>
    <row r="49" spans="1:26" ht="42" x14ac:dyDescent="0.3">
      <c r="A49" s="222">
        <v>6</v>
      </c>
      <c r="B49" s="240" t="s">
        <v>77</v>
      </c>
      <c r="C49" s="238" t="s">
        <v>47</v>
      </c>
      <c r="D49" s="242"/>
      <c r="E49" s="242"/>
      <c r="F49" s="242"/>
      <c r="G49" s="242"/>
      <c r="H49" s="242"/>
      <c r="I49" s="242"/>
      <c r="J49" s="203">
        <f>29+26</f>
        <v>55</v>
      </c>
      <c r="K49" s="204">
        <f>12+11</f>
        <v>23</v>
      </c>
      <c r="L49" s="204">
        <v>2</v>
      </c>
      <c r="M49" s="203">
        <f>22+25+24</f>
        <v>71</v>
      </c>
      <c r="N49" s="223">
        <f>6+10+14</f>
        <v>30</v>
      </c>
      <c r="O49" s="205">
        <v>3</v>
      </c>
      <c r="P49" s="203">
        <f>28+23+28</f>
        <v>79</v>
      </c>
      <c r="Q49" s="204">
        <f>10+13+12</f>
        <v>35</v>
      </c>
      <c r="R49" s="204">
        <v>3</v>
      </c>
      <c r="S49" s="203">
        <f>18+20+24</f>
        <v>62</v>
      </c>
      <c r="T49" s="204">
        <f>9+11+12</f>
        <v>32</v>
      </c>
      <c r="U49" s="205">
        <v>3</v>
      </c>
      <c r="V49" s="203">
        <f>D49+G49+J49+M49+P49+S49</f>
        <v>267</v>
      </c>
      <c r="W49" s="203">
        <f>E49+H49+K49+N49+Q49+T49</f>
        <v>120</v>
      </c>
      <c r="X49" s="203">
        <v>12</v>
      </c>
      <c r="Y49" s="204">
        <v>5</v>
      </c>
      <c r="Z49" s="206">
        <f>F49+I49+L49+O49+R49+U49</f>
        <v>11</v>
      </c>
    </row>
    <row r="50" spans="1:26" ht="15.6" x14ac:dyDescent="0.3">
      <c r="A50" s="222">
        <v>7</v>
      </c>
      <c r="B50" s="240" t="s">
        <v>77</v>
      </c>
      <c r="C50" s="238" t="s">
        <v>14</v>
      </c>
      <c r="D50" s="203">
        <f>31+31+28+31</f>
        <v>121</v>
      </c>
      <c r="E50" s="204">
        <f>20+17+12+18</f>
        <v>67</v>
      </c>
      <c r="F50" s="204">
        <v>4</v>
      </c>
      <c r="G50" s="203">
        <f>29+31+31</f>
        <v>91</v>
      </c>
      <c r="H50" s="204">
        <f>14+19+13</f>
        <v>46</v>
      </c>
      <c r="I50" s="204">
        <v>3</v>
      </c>
      <c r="J50" s="203">
        <f>28+25+24+25</f>
        <v>102</v>
      </c>
      <c r="K50" s="204">
        <f>18+12+14+13</f>
        <v>57</v>
      </c>
      <c r="L50" s="204">
        <v>4</v>
      </c>
      <c r="M50" s="203">
        <f>30+30+30+29</f>
        <v>119</v>
      </c>
      <c r="N50" s="214">
        <f>14+15+17+14</f>
        <v>60</v>
      </c>
      <c r="O50" s="199">
        <v>4</v>
      </c>
      <c r="P50" s="203">
        <f>31+30+31+30</f>
        <v>122</v>
      </c>
      <c r="Q50" s="204">
        <f>15+16+15+13</f>
        <v>59</v>
      </c>
      <c r="R50" s="204">
        <v>4</v>
      </c>
      <c r="S50" s="203">
        <f>28+28+28+30</f>
        <v>114</v>
      </c>
      <c r="T50" s="204">
        <f>12+11+14+19</f>
        <v>56</v>
      </c>
      <c r="U50" s="205">
        <v>4</v>
      </c>
      <c r="V50" s="203">
        <f>D50+G50+J50+M50+P50+S50</f>
        <v>669</v>
      </c>
      <c r="W50" s="203">
        <f>E50+H50+K50+N50+Q50+T50</f>
        <v>345</v>
      </c>
      <c r="X50" s="203">
        <v>33</v>
      </c>
      <c r="Y50" s="198">
        <v>19</v>
      </c>
      <c r="Z50" s="206">
        <f>F50+I50+L50+O50+R50+U50</f>
        <v>23</v>
      </c>
    </row>
    <row r="51" spans="1:26" ht="15.6" x14ac:dyDescent="0.3">
      <c r="A51" s="222">
        <v>8</v>
      </c>
      <c r="B51" s="240" t="s">
        <v>77</v>
      </c>
      <c r="C51" s="240" t="s">
        <v>16</v>
      </c>
      <c r="D51" s="242"/>
      <c r="E51" s="242"/>
      <c r="F51" s="242"/>
      <c r="G51" s="242"/>
      <c r="H51" s="242"/>
      <c r="I51" s="242"/>
      <c r="J51" s="203">
        <f>23+21</f>
        <v>44</v>
      </c>
      <c r="K51" s="204">
        <f>12+8</f>
        <v>20</v>
      </c>
      <c r="L51" s="204">
        <v>2</v>
      </c>
      <c r="M51" s="203">
        <f>22+20</f>
        <v>42</v>
      </c>
      <c r="N51" s="214">
        <f>11+7</f>
        <v>18</v>
      </c>
      <c r="O51" s="205">
        <v>2</v>
      </c>
      <c r="P51" s="203">
        <f>28+28+25</f>
        <v>81</v>
      </c>
      <c r="Q51" s="204">
        <f>13+12+11</f>
        <v>36</v>
      </c>
      <c r="R51" s="204">
        <v>3</v>
      </c>
      <c r="S51" s="203">
        <f>25+22</f>
        <v>47</v>
      </c>
      <c r="T51" s="204">
        <f>15+0</f>
        <v>15</v>
      </c>
      <c r="U51" s="205">
        <v>2</v>
      </c>
      <c r="V51" s="203">
        <f>D51+G51+J51+M51+P51+S51</f>
        <v>214</v>
      </c>
      <c r="W51" s="203">
        <f>E51+H51+K51+N51+Q51+T51</f>
        <v>89</v>
      </c>
      <c r="X51" s="203">
        <v>17</v>
      </c>
      <c r="Y51" s="204">
        <v>7</v>
      </c>
      <c r="Z51" s="206">
        <f>F51+I51+L51+O51+R51+U51</f>
        <v>9</v>
      </c>
    </row>
    <row r="52" spans="1:26" ht="17.399999999999999" thickBot="1" x14ac:dyDescent="0.35">
      <c r="A52" s="222">
        <v>9</v>
      </c>
      <c r="B52" s="237" t="s">
        <v>77</v>
      </c>
      <c r="C52" s="238" t="s">
        <v>84</v>
      </c>
      <c r="D52" s="203">
        <f>26+2+29+28</f>
        <v>85</v>
      </c>
      <c r="E52" s="204">
        <f>14+2+15+14</f>
        <v>45</v>
      </c>
      <c r="F52" s="204">
        <v>3</v>
      </c>
      <c r="G52" s="203">
        <f>27+27+28</f>
        <v>82</v>
      </c>
      <c r="H52" s="204">
        <f>13+11+14</f>
        <v>38</v>
      </c>
      <c r="I52" s="204">
        <v>3</v>
      </c>
      <c r="J52" s="245">
        <f>28+28+25</f>
        <v>81</v>
      </c>
      <c r="K52" s="246">
        <f>13+17+12</f>
        <v>42</v>
      </c>
      <c r="L52" s="224">
        <v>3</v>
      </c>
      <c r="M52" s="203">
        <f>31+30+30</f>
        <v>91</v>
      </c>
      <c r="N52" s="214">
        <f>15+15+13</f>
        <v>43</v>
      </c>
      <c r="O52" s="229">
        <v>3</v>
      </c>
      <c r="P52" s="203">
        <f>33+33+31+1</f>
        <v>98</v>
      </c>
      <c r="Q52" s="204">
        <f>9+15+15+0</f>
        <v>39</v>
      </c>
      <c r="R52" s="204">
        <v>3</v>
      </c>
      <c r="S52" s="203">
        <f>29+31+30+22</f>
        <v>112</v>
      </c>
      <c r="T52" s="204">
        <f>15+12+10+13</f>
        <v>50</v>
      </c>
      <c r="U52" s="229">
        <v>4</v>
      </c>
      <c r="V52" s="203">
        <f>D52+G52+J52+M52+P52+S52</f>
        <v>549</v>
      </c>
      <c r="W52" s="203">
        <f>E52+H52+K52+N52+Q52+T52</f>
        <v>257</v>
      </c>
      <c r="X52" s="230">
        <v>32</v>
      </c>
      <c r="Y52" s="231">
        <v>15</v>
      </c>
      <c r="Z52" s="206">
        <f>F52+I52+L52+O52+R52+U52</f>
        <v>19</v>
      </c>
    </row>
    <row r="53" spans="1:26" ht="16.2" thickBot="1" x14ac:dyDescent="0.35">
      <c r="A53" s="208"/>
      <c r="B53" s="216" t="s">
        <v>77</v>
      </c>
      <c r="C53" s="227" t="s">
        <v>33</v>
      </c>
      <c r="D53" s="209">
        <f>SUM(D44:D52)</f>
        <v>591</v>
      </c>
      <c r="E53" s="209">
        <f>SUM(E44:E52)</f>
        <v>278</v>
      </c>
      <c r="F53" s="209">
        <f>SUM(F44:F52)</f>
        <v>22</v>
      </c>
      <c r="G53" s="209">
        <f t="shared" ref="G53:Z53" si="3">SUM(G44:G52)</f>
        <v>548</v>
      </c>
      <c r="H53" s="209">
        <f t="shared" si="3"/>
        <v>251</v>
      </c>
      <c r="I53" s="209">
        <f t="shared" si="3"/>
        <v>20</v>
      </c>
      <c r="J53" s="209">
        <f t="shared" si="3"/>
        <v>683</v>
      </c>
      <c r="K53" s="209">
        <f t="shared" si="3"/>
        <v>321</v>
      </c>
      <c r="L53" s="209">
        <f t="shared" si="3"/>
        <v>25</v>
      </c>
      <c r="M53" s="209">
        <f t="shared" si="3"/>
        <v>736</v>
      </c>
      <c r="N53" s="209">
        <f t="shared" si="3"/>
        <v>345</v>
      </c>
      <c r="O53" s="210">
        <f t="shared" si="3"/>
        <v>26</v>
      </c>
      <c r="P53" s="209">
        <f t="shared" si="3"/>
        <v>765</v>
      </c>
      <c r="Q53" s="209">
        <f t="shared" si="3"/>
        <v>345</v>
      </c>
      <c r="R53" s="209">
        <f t="shared" si="3"/>
        <v>26</v>
      </c>
      <c r="S53" s="209">
        <f t="shared" si="3"/>
        <v>744</v>
      </c>
      <c r="T53" s="209">
        <f t="shared" si="3"/>
        <v>345</v>
      </c>
      <c r="U53" s="210">
        <f t="shared" si="3"/>
        <v>27</v>
      </c>
      <c r="V53" s="211">
        <f t="shared" si="3"/>
        <v>4067</v>
      </c>
      <c r="W53" s="211">
        <f t="shared" si="3"/>
        <v>1885</v>
      </c>
      <c r="X53" s="209">
        <f t="shared" si="3"/>
        <v>284</v>
      </c>
      <c r="Y53" s="209">
        <f t="shared" si="3"/>
        <v>137</v>
      </c>
      <c r="Z53" s="212">
        <f t="shared" si="3"/>
        <v>146</v>
      </c>
    </row>
    <row r="54" spans="1:26" ht="15.6" x14ac:dyDescent="0.25">
      <c r="A54" s="243" t="s">
        <v>85</v>
      </c>
    </row>
    <row r="55" spans="1:26" ht="15.6" x14ac:dyDescent="0.25">
      <c r="A55" s="243" t="s">
        <v>79</v>
      </c>
    </row>
    <row r="56" spans="1:26" ht="15.6" x14ac:dyDescent="0.25">
      <c r="A56" s="243" t="s">
        <v>81</v>
      </c>
    </row>
    <row r="57" spans="1:26" ht="15.6" x14ac:dyDescent="0.25">
      <c r="A57" s="243" t="s">
        <v>80</v>
      </c>
    </row>
    <row r="58" spans="1:26" ht="15.6" x14ac:dyDescent="0.25">
      <c r="A58" s="243" t="s">
        <v>86</v>
      </c>
    </row>
    <row r="59" spans="1:26" ht="15.6" x14ac:dyDescent="0.3">
      <c r="A59" s="222">
        <v>1</v>
      </c>
      <c r="B59" s="202" t="s">
        <v>88</v>
      </c>
      <c r="C59" s="207" t="s">
        <v>10</v>
      </c>
      <c r="D59" s="203">
        <v>90</v>
      </c>
      <c r="E59" s="204">
        <v>39</v>
      </c>
      <c r="F59" s="204">
        <v>3</v>
      </c>
      <c r="G59" s="203">
        <v>94</v>
      </c>
      <c r="H59" s="204">
        <v>39</v>
      </c>
      <c r="I59" s="204">
        <v>3</v>
      </c>
      <c r="J59" s="203">
        <v>91</v>
      </c>
      <c r="K59" s="204">
        <v>45</v>
      </c>
      <c r="L59" s="204">
        <v>3</v>
      </c>
      <c r="M59" s="203">
        <v>94</v>
      </c>
      <c r="N59" s="205">
        <v>40</v>
      </c>
      <c r="O59" s="205">
        <v>3</v>
      </c>
      <c r="P59" s="203">
        <v>98</v>
      </c>
      <c r="Q59" s="204">
        <v>49</v>
      </c>
      <c r="R59" s="204">
        <v>3</v>
      </c>
      <c r="S59" s="203">
        <v>93</v>
      </c>
      <c r="T59" s="204">
        <v>41</v>
      </c>
      <c r="U59" s="205">
        <v>3</v>
      </c>
      <c r="V59" s="203">
        <f>D59+G59+J59+M59+P59+S59</f>
        <v>560</v>
      </c>
      <c r="W59" s="204">
        <f>E59+H59+K59+N59+Q59+T59</f>
        <v>253</v>
      </c>
      <c r="X59" s="203">
        <v>19</v>
      </c>
      <c r="Y59" s="204">
        <v>10</v>
      </c>
      <c r="Z59" s="206">
        <f>F59+I59+L59+O59+R59+U59</f>
        <v>18</v>
      </c>
    </row>
    <row r="60" spans="1:26" ht="15.6" x14ac:dyDescent="0.3">
      <c r="A60" s="222">
        <v>2</v>
      </c>
      <c r="B60" s="202" t="s">
        <v>88</v>
      </c>
      <c r="C60" s="207" t="s">
        <v>11</v>
      </c>
      <c r="D60" s="203">
        <v>24</v>
      </c>
      <c r="E60" s="204">
        <v>12</v>
      </c>
      <c r="F60" s="204">
        <v>1</v>
      </c>
      <c r="G60" s="203">
        <v>45</v>
      </c>
      <c r="H60" s="204">
        <v>18</v>
      </c>
      <c r="I60" s="204">
        <v>2</v>
      </c>
      <c r="J60" s="203">
        <v>56</v>
      </c>
      <c r="K60" s="204">
        <v>20</v>
      </c>
      <c r="L60" s="204">
        <v>2</v>
      </c>
      <c r="M60" s="203">
        <v>49</v>
      </c>
      <c r="N60" s="214">
        <v>26</v>
      </c>
      <c r="O60" s="199">
        <v>2</v>
      </c>
      <c r="P60" s="203">
        <v>91</v>
      </c>
      <c r="Q60" s="204">
        <v>44</v>
      </c>
      <c r="R60" s="204">
        <v>3</v>
      </c>
      <c r="S60" s="203">
        <v>29</v>
      </c>
      <c r="T60" s="204">
        <v>17</v>
      </c>
      <c r="U60" s="205">
        <v>1</v>
      </c>
      <c r="V60" s="203">
        <f>D60+G60+J60+M60+P60+S60</f>
        <v>294</v>
      </c>
      <c r="W60" s="204">
        <f>E60+H60+K60+N60+Q60+T60</f>
        <v>137</v>
      </c>
      <c r="X60" s="203">
        <v>24</v>
      </c>
      <c r="Y60" s="198">
        <v>12</v>
      </c>
      <c r="Z60" s="206">
        <f>F60+I60+L60+O60+R60+U60</f>
        <v>11</v>
      </c>
    </row>
    <row r="61" spans="1:26" ht="43.8" x14ac:dyDescent="0.3">
      <c r="A61" s="222">
        <v>3</v>
      </c>
      <c r="B61" s="202" t="s">
        <v>88</v>
      </c>
      <c r="C61" s="207" t="s">
        <v>93</v>
      </c>
      <c r="D61" s="203">
        <v>56</v>
      </c>
      <c r="E61" s="204">
        <v>30</v>
      </c>
      <c r="F61" s="204">
        <v>2</v>
      </c>
      <c r="G61" s="203">
        <v>76</v>
      </c>
      <c r="H61" s="204">
        <v>36</v>
      </c>
      <c r="I61" s="204">
        <v>3</v>
      </c>
      <c r="J61" s="203">
        <v>81</v>
      </c>
      <c r="K61" s="204">
        <v>41</v>
      </c>
      <c r="L61" s="204">
        <v>3</v>
      </c>
      <c r="M61" s="203">
        <v>74</v>
      </c>
      <c r="N61" s="214">
        <v>31</v>
      </c>
      <c r="O61" s="205">
        <v>3</v>
      </c>
      <c r="P61" s="203">
        <v>61</v>
      </c>
      <c r="Q61" s="204">
        <v>33</v>
      </c>
      <c r="R61" s="204">
        <v>2</v>
      </c>
      <c r="S61" s="203">
        <v>75</v>
      </c>
      <c r="T61" s="204">
        <v>41</v>
      </c>
      <c r="U61" s="205">
        <v>3</v>
      </c>
      <c r="V61" s="203">
        <f>D61+G61+J61+M61+P61+S61</f>
        <v>423</v>
      </c>
      <c r="W61" s="204">
        <f>E61+H61+K61+N61+Q61+T61</f>
        <v>212</v>
      </c>
      <c r="X61" s="203">
        <v>80</v>
      </c>
      <c r="Y61" s="204">
        <v>46</v>
      </c>
      <c r="Z61" s="206">
        <f>F61+I61+L61+O61+R61+U61</f>
        <v>16</v>
      </c>
    </row>
    <row r="62" spans="1:26" ht="30.6" x14ac:dyDescent="0.3">
      <c r="A62" s="222">
        <v>4</v>
      </c>
      <c r="B62" s="202" t="s">
        <v>88</v>
      </c>
      <c r="C62" s="207" t="s">
        <v>13</v>
      </c>
      <c r="D62" s="203">
        <v>113</v>
      </c>
      <c r="E62" s="204">
        <v>54</v>
      </c>
      <c r="F62" s="204">
        <v>4</v>
      </c>
      <c r="G62" s="203">
        <v>96</v>
      </c>
      <c r="H62" s="204">
        <v>47</v>
      </c>
      <c r="I62" s="204">
        <v>4</v>
      </c>
      <c r="J62" s="203">
        <v>90</v>
      </c>
      <c r="K62" s="204">
        <v>43</v>
      </c>
      <c r="L62" s="204">
        <v>3</v>
      </c>
      <c r="M62" s="203">
        <v>91</v>
      </c>
      <c r="N62" s="223">
        <v>41</v>
      </c>
      <c r="O62" s="205">
        <v>3</v>
      </c>
      <c r="P62" s="203">
        <v>88</v>
      </c>
      <c r="Q62" s="204">
        <v>32</v>
      </c>
      <c r="R62" s="204">
        <v>3</v>
      </c>
      <c r="S62" s="203">
        <v>86</v>
      </c>
      <c r="T62" s="204">
        <v>40</v>
      </c>
      <c r="U62" s="205">
        <v>3</v>
      </c>
      <c r="V62" s="203">
        <f>D62+G62+J62+M62+P62+S62</f>
        <v>564</v>
      </c>
      <c r="W62" s="204">
        <f>E62+H62+K62+N62+Q62+T62</f>
        <v>257</v>
      </c>
      <c r="X62" s="203">
        <v>36</v>
      </c>
      <c r="Y62" s="204">
        <v>15</v>
      </c>
      <c r="Z62" s="206">
        <f>F62+I62+L62+O62+R62+U62</f>
        <v>20</v>
      </c>
    </row>
    <row r="63" spans="1:26" ht="15.6" x14ac:dyDescent="0.3">
      <c r="A63" s="222">
        <v>5</v>
      </c>
      <c r="B63" s="202" t="s">
        <v>88</v>
      </c>
      <c r="C63" s="207" t="s">
        <v>71</v>
      </c>
      <c r="D63" s="203">
        <v>54</v>
      </c>
      <c r="E63" s="204">
        <v>17</v>
      </c>
      <c r="F63" s="204">
        <v>2</v>
      </c>
      <c r="G63" s="203">
        <v>86</v>
      </c>
      <c r="H63" s="204">
        <v>42</v>
      </c>
      <c r="I63" s="204">
        <v>3</v>
      </c>
      <c r="J63" s="203">
        <v>88</v>
      </c>
      <c r="K63" s="204">
        <v>37</v>
      </c>
      <c r="L63" s="204">
        <v>3</v>
      </c>
      <c r="M63" s="203">
        <v>83</v>
      </c>
      <c r="N63" s="223">
        <v>39</v>
      </c>
      <c r="O63" s="205">
        <v>3</v>
      </c>
      <c r="P63" s="203">
        <v>90</v>
      </c>
      <c r="Q63" s="204">
        <v>46</v>
      </c>
      <c r="R63" s="204">
        <v>3</v>
      </c>
      <c r="S63" s="203">
        <v>89</v>
      </c>
      <c r="T63" s="204">
        <v>38</v>
      </c>
      <c r="U63" s="205">
        <v>3</v>
      </c>
      <c r="V63" s="203">
        <f>D63+G63+J63+M63+P63+S63</f>
        <v>490</v>
      </c>
      <c r="W63" s="204">
        <f>E63+H63+K63+N63+Q63+T63</f>
        <v>219</v>
      </c>
      <c r="X63" s="203">
        <v>42</v>
      </c>
      <c r="Y63" s="204">
        <v>18</v>
      </c>
      <c r="Z63" s="206">
        <f>F63+I63+L63+O63+R63+U63</f>
        <v>17</v>
      </c>
    </row>
    <row r="64" spans="1:26" ht="31.2" x14ac:dyDescent="0.3">
      <c r="A64" s="222">
        <v>6</v>
      </c>
      <c r="B64" s="202" t="s">
        <v>88</v>
      </c>
      <c r="C64" s="207" t="s">
        <v>91</v>
      </c>
      <c r="D64" s="264"/>
      <c r="E64" s="265"/>
      <c r="F64" s="265"/>
      <c r="G64" s="265"/>
      <c r="H64" s="265"/>
      <c r="I64" s="265"/>
      <c r="J64" s="265"/>
      <c r="K64" s="265"/>
      <c r="L64" s="266"/>
      <c r="M64" s="203">
        <v>55</v>
      </c>
      <c r="N64" s="223">
        <v>22</v>
      </c>
      <c r="O64" s="205">
        <v>2</v>
      </c>
      <c r="P64" s="203">
        <v>67</v>
      </c>
      <c r="Q64" s="204">
        <v>28</v>
      </c>
      <c r="R64" s="204">
        <v>3</v>
      </c>
      <c r="S64" s="203">
        <v>74</v>
      </c>
      <c r="T64" s="204">
        <v>33</v>
      </c>
      <c r="U64" s="205">
        <v>3</v>
      </c>
      <c r="V64" s="203">
        <f>D64+G64+J64+M64+P64+S64</f>
        <v>196</v>
      </c>
      <c r="W64" s="204">
        <f>E64+H64+K64+N64+Q64+T64</f>
        <v>83</v>
      </c>
      <c r="X64" s="203">
        <v>7</v>
      </c>
      <c r="Y64" s="204">
        <v>3</v>
      </c>
      <c r="Z64" s="206">
        <f>F64+I64+L64+O64+R64+U64</f>
        <v>8</v>
      </c>
    </row>
    <row r="65" spans="1:26" ht="15.6" x14ac:dyDescent="0.3">
      <c r="A65" s="222">
        <v>7</v>
      </c>
      <c r="B65" s="202" t="s">
        <v>88</v>
      </c>
      <c r="C65" s="207" t="s">
        <v>14</v>
      </c>
      <c r="D65" s="203">
        <v>110</v>
      </c>
      <c r="E65" s="204">
        <v>48</v>
      </c>
      <c r="F65" s="204">
        <v>4</v>
      </c>
      <c r="G65" s="203">
        <v>119</v>
      </c>
      <c r="H65" s="204">
        <v>68</v>
      </c>
      <c r="I65" s="204">
        <v>4</v>
      </c>
      <c r="J65" s="203">
        <v>87</v>
      </c>
      <c r="K65" s="204">
        <v>46</v>
      </c>
      <c r="L65" s="204">
        <v>3</v>
      </c>
      <c r="M65" s="203">
        <v>110</v>
      </c>
      <c r="N65" s="214">
        <v>60</v>
      </c>
      <c r="O65" s="199">
        <v>4</v>
      </c>
      <c r="P65" s="203">
        <v>113</v>
      </c>
      <c r="Q65" s="204">
        <v>53</v>
      </c>
      <c r="R65" s="204">
        <v>4</v>
      </c>
      <c r="S65" s="203">
        <v>120</v>
      </c>
      <c r="T65" s="204">
        <v>57</v>
      </c>
      <c r="U65" s="205">
        <v>4</v>
      </c>
      <c r="V65" s="203">
        <f>D65+G65+J65+M65+P65+S65</f>
        <v>659</v>
      </c>
      <c r="W65" s="204">
        <f>E65+H65+K65+N65+Q65+T65</f>
        <v>332</v>
      </c>
      <c r="X65" s="203">
        <v>33</v>
      </c>
      <c r="Y65" s="198">
        <v>19</v>
      </c>
      <c r="Z65" s="206">
        <f>F65+I65+L65+O65+R65+U65</f>
        <v>23</v>
      </c>
    </row>
    <row r="66" spans="1:26" ht="18" x14ac:dyDescent="0.3">
      <c r="A66" s="222">
        <v>8</v>
      </c>
      <c r="B66" s="202" t="s">
        <v>88</v>
      </c>
      <c r="C66" s="202" t="s">
        <v>90</v>
      </c>
      <c r="D66" s="264"/>
      <c r="E66" s="265"/>
      <c r="F66" s="265"/>
      <c r="G66" s="265"/>
      <c r="H66" s="265"/>
      <c r="I66" s="265"/>
      <c r="J66" s="265"/>
      <c r="K66" s="265"/>
      <c r="L66" s="266"/>
      <c r="M66" s="203">
        <v>39</v>
      </c>
      <c r="N66" s="214">
        <v>17</v>
      </c>
      <c r="O66" s="205">
        <v>2</v>
      </c>
      <c r="P66" s="203">
        <v>44</v>
      </c>
      <c r="Q66" s="204">
        <v>15</v>
      </c>
      <c r="R66" s="204">
        <v>2</v>
      </c>
      <c r="S66" s="203">
        <v>79</v>
      </c>
      <c r="T66" s="204">
        <v>36</v>
      </c>
      <c r="U66" s="205">
        <v>3</v>
      </c>
      <c r="V66" s="203">
        <f>D66+G66+J66+M66+P66+S66</f>
        <v>162</v>
      </c>
      <c r="W66" s="204">
        <f>E66+H66+K66+N66+Q66+T66</f>
        <v>68</v>
      </c>
      <c r="X66" s="203">
        <v>11</v>
      </c>
      <c r="Y66" s="204">
        <v>4</v>
      </c>
      <c r="Z66" s="206">
        <f>F66+I66+L66+O66+R66+U66</f>
        <v>7</v>
      </c>
    </row>
    <row r="67" spans="1:26" ht="16.2" thickBot="1" x14ac:dyDescent="0.35">
      <c r="A67" s="222">
        <v>9</v>
      </c>
      <c r="B67" s="225" t="s">
        <v>88</v>
      </c>
      <c r="C67" s="207" t="s">
        <v>17</v>
      </c>
      <c r="D67" s="203">
        <v>90</v>
      </c>
      <c r="E67" s="204">
        <v>53</v>
      </c>
      <c r="F67" s="204">
        <v>3</v>
      </c>
      <c r="G67" s="203">
        <v>88</v>
      </c>
      <c r="H67" s="204">
        <v>47</v>
      </c>
      <c r="I67" s="204">
        <v>3</v>
      </c>
      <c r="J67" s="245">
        <v>74</v>
      </c>
      <c r="K67" s="246">
        <v>33</v>
      </c>
      <c r="L67" s="224">
        <v>3</v>
      </c>
      <c r="M67" s="203">
        <v>89</v>
      </c>
      <c r="N67" s="214">
        <v>48</v>
      </c>
      <c r="O67" s="229">
        <v>3</v>
      </c>
      <c r="P67" s="203">
        <v>95</v>
      </c>
      <c r="Q67" s="204">
        <v>45</v>
      </c>
      <c r="R67" s="204">
        <v>3</v>
      </c>
      <c r="S67" s="203">
        <v>91</v>
      </c>
      <c r="T67" s="204">
        <v>36</v>
      </c>
      <c r="U67" s="229">
        <v>3</v>
      </c>
      <c r="V67" s="203">
        <f>D67+G67+J67+M67+P67+S67</f>
        <v>527</v>
      </c>
      <c r="W67" s="204">
        <f>E67+H67+K67+N67+Q67+T67</f>
        <v>262</v>
      </c>
      <c r="X67" s="230">
        <v>23</v>
      </c>
      <c r="Y67" s="231">
        <v>10</v>
      </c>
      <c r="Z67" s="206">
        <f>F67+I67+L67+O67+R67+U67</f>
        <v>18</v>
      </c>
    </row>
    <row r="68" spans="1:26" ht="16.2" thickBot="1" x14ac:dyDescent="0.35">
      <c r="A68" s="208"/>
      <c r="B68" s="216" t="s">
        <v>88</v>
      </c>
      <c r="C68" s="227" t="s">
        <v>33</v>
      </c>
      <c r="D68" s="209">
        <f>SUM(D59:D67)</f>
        <v>537</v>
      </c>
      <c r="E68" s="209">
        <f>SUM(E59:E67)</f>
        <v>253</v>
      </c>
      <c r="F68" s="209">
        <f>SUM(F59:F67)</f>
        <v>19</v>
      </c>
      <c r="G68" s="209">
        <f t="shared" ref="G68:Z68" si="4">SUM(G59:G67)</f>
        <v>604</v>
      </c>
      <c r="H68" s="209">
        <f t="shared" si="4"/>
        <v>297</v>
      </c>
      <c r="I68" s="209">
        <f t="shared" si="4"/>
        <v>22</v>
      </c>
      <c r="J68" s="209">
        <f t="shared" si="4"/>
        <v>567</v>
      </c>
      <c r="K68" s="209">
        <f t="shared" si="4"/>
        <v>265</v>
      </c>
      <c r="L68" s="209">
        <f t="shared" si="4"/>
        <v>20</v>
      </c>
      <c r="M68" s="209">
        <f t="shared" si="4"/>
        <v>684</v>
      </c>
      <c r="N68" s="209">
        <f t="shared" si="4"/>
        <v>324</v>
      </c>
      <c r="O68" s="210">
        <f t="shared" si="4"/>
        <v>25</v>
      </c>
      <c r="P68" s="209">
        <f t="shared" si="4"/>
        <v>747</v>
      </c>
      <c r="Q68" s="209">
        <f t="shared" si="4"/>
        <v>345</v>
      </c>
      <c r="R68" s="209">
        <f t="shared" si="4"/>
        <v>26</v>
      </c>
      <c r="S68" s="209">
        <f t="shared" si="4"/>
        <v>736</v>
      </c>
      <c r="T68" s="209">
        <f t="shared" si="4"/>
        <v>339</v>
      </c>
      <c r="U68" s="210">
        <f t="shared" si="4"/>
        <v>26</v>
      </c>
      <c r="V68" s="211">
        <f t="shared" si="4"/>
        <v>3875</v>
      </c>
      <c r="W68" s="211">
        <f t="shared" si="4"/>
        <v>1823</v>
      </c>
      <c r="X68" s="209">
        <f t="shared" si="4"/>
        <v>275</v>
      </c>
      <c r="Y68" s="209">
        <f t="shared" si="4"/>
        <v>137</v>
      </c>
      <c r="Z68" s="212">
        <f t="shared" si="4"/>
        <v>138</v>
      </c>
    </row>
    <row r="69" spans="1:26" ht="15.6" x14ac:dyDescent="0.25">
      <c r="A69" s="243" t="s">
        <v>89</v>
      </c>
    </row>
    <row r="70" spans="1:26" ht="15" x14ac:dyDescent="0.25">
      <c r="A70" s="247" t="s">
        <v>92</v>
      </c>
    </row>
    <row r="71" spans="1:26" ht="15" x14ac:dyDescent="0.25">
      <c r="A71" s="247" t="s">
        <v>100</v>
      </c>
    </row>
    <row r="72" spans="1:26" ht="15" x14ac:dyDescent="0.25">
      <c r="A72" s="247" t="s">
        <v>94</v>
      </c>
    </row>
    <row r="73" spans="1:26" ht="15" x14ac:dyDescent="0.25">
      <c r="A73" s="247" t="s">
        <v>99</v>
      </c>
    </row>
    <row r="74" spans="1:26" ht="15" x14ac:dyDescent="0.25">
      <c r="A74" s="247" t="s">
        <v>95</v>
      </c>
    </row>
    <row r="75" spans="1:26" ht="15" x14ac:dyDescent="0.25">
      <c r="A75" s="247" t="s">
        <v>96</v>
      </c>
    </row>
    <row r="76" spans="1:26" ht="15" x14ac:dyDescent="0.25">
      <c r="A76" s="247" t="s">
        <v>97</v>
      </c>
    </row>
    <row r="77" spans="1:26" ht="15" x14ac:dyDescent="0.25">
      <c r="A77" s="247" t="s">
        <v>98</v>
      </c>
    </row>
    <row r="78" spans="1:26" s="166" customFormat="1" ht="15.6" x14ac:dyDescent="0.25">
      <c r="A78" s="153">
        <v>1</v>
      </c>
      <c r="B78" s="164" t="s">
        <v>103</v>
      </c>
      <c r="C78" s="155" t="s">
        <v>10</v>
      </c>
      <c r="D78" s="195">
        <v>113</v>
      </c>
      <c r="E78" s="192">
        <v>51</v>
      </c>
      <c r="F78" s="192">
        <v>4</v>
      </c>
      <c r="G78" s="195">
        <v>91</v>
      </c>
      <c r="H78" s="192">
        <v>39</v>
      </c>
      <c r="I78" s="192">
        <v>3</v>
      </c>
      <c r="J78" s="195">
        <v>93</v>
      </c>
      <c r="K78" s="192">
        <v>40</v>
      </c>
      <c r="L78" s="192">
        <v>3</v>
      </c>
      <c r="M78" s="195">
        <v>89</v>
      </c>
      <c r="N78" s="157">
        <v>45</v>
      </c>
      <c r="O78" s="157">
        <v>3</v>
      </c>
      <c r="P78" s="195">
        <v>93</v>
      </c>
      <c r="Q78" s="192">
        <v>40</v>
      </c>
      <c r="R78" s="192">
        <v>3</v>
      </c>
      <c r="S78" s="195">
        <v>96</v>
      </c>
      <c r="T78" s="192">
        <v>47</v>
      </c>
      <c r="U78" s="157">
        <v>3</v>
      </c>
      <c r="V78" s="195">
        <f>D78+G78+J78+M78+P78+S78</f>
        <v>575</v>
      </c>
      <c r="W78" s="192">
        <f>E78+H78+K78+N78+Q78+T78</f>
        <v>262</v>
      </c>
      <c r="X78" s="195">
        <v>16</v>
      </c>
      <c r="Y78" s="192">
        <v>7</v>
      </c>
      <c r="Z78" s="165">
        <f>F78+I78+L78+O78+R78+U78</f>
        <v>19</v>
      </c>
    </row>
    <row r="79" spans="1:26" s="166" customFormat="1" ht="28.2" x14ac:dyDescent="0.25">
      <c r="A79" s="153">
        <v>2</v>
      </c>
      <c r="B79" s="164" t="s">
        <v>103</v>
      </c>
      <c r="C79" s="155" t="s">
        <v>106</v>
      </c>
      <c r="D79" s="195">
        <v>54</v>
      </c>
      <c r="E79" s="192">
        <v>19</v>
      </c>
      <c r="F79" s="192">
        <v>2</v>
      </c>
      <c r="G79" s="195">
        <v>55</v>
      </c>
      <c r="H79" s="192">
        <v>17</v>
      </c>
      <c r="I79" s="192">
        <v>2</v>
      </c>
      <c r="J79" s="195">
        <v>102</v>
      </c>
      <c r="K79" s="192">
        <v>47</v>
      </c>
      <c r="L79" s="192">
        <v>4</v>
      </c>
      <c r="M79" s="195">
        <v>82</v>
      </c>
      <c r="N79" s="167">
        <v>37</v>
      </c>
      <c r="O79" s="157">
        <v>3</v>
      </c>
      <c r="P79" s="195">
        <v>91</v>
      </c>
      <c r="Q79" s="192">
        <v>46</v>
      </c>
      <c r="R79" s="192">
        <v>3</v>
      </c>
      <c r="S79" s="195">
        <v>88</v>
      </c>
      <c r="T79" s="192">
        <v>44</v>
      </c>
      <c r="U79" s="157">
        <v>3</v>
      </c>
      <c r="V79" s="195">
        <f>D79+G79+J79+M79+P79+S79</f>
        <v>472</v>
      </c>
      <c r="W79" s="192">
        <f>E79+H79+K79+N79+Q79+T79</f>
        <v>210</v>
      </c>
      <c r="X79" s="195">
        <v>60</v>
      </c>
      <c r="Y79" s="192">
        <v>29</v>
      </c>
      <c r="Z79" s="165">
        <f>F79+I79+L79+O79+R79+U79</f>
        <v>17</v>
      </c>
    </row>
    <row r="80" spans="1:26" s="166" customFormat="1" ht="17.399999999999999" x14ac:dyDescent="0.25">
      <c r="A80" s="153">
        <v>3</v>
      </c>
      <c r="B80" s="164" t="s">
        <v>103</v>
      </c>
      <c r="C80" s="155" t="s">
        <v>105</v>
      </c>
      <c r="D80" s="261"/>
      <c r="E80" s="262"/>
      <c r="F80" s="263"/>
      <c r="G80" s="195">
        <v>25</v>
      </c>
      <c r="H80" s="192">
        <v>11</v>
      </c>
      <c r="I80" s="192">
        <v>1</v>
      </c>
      <c r="J80" s="195">
        <v>39</v>
      </c>
      <c r="K80" s="192">
        <v>14</v>
      </c>
      <c r="L80" s="192">
        <v>2</v>
      </c>
      <c r="M80" s="195">
        <v>54</v>
      </c>
      <c r="N80" s="156">
        <v>21</v>
      </c>
      <c r="O80" s="168">
        <v>2</v>
      </c>
      <c r="P80" s="195">
        <v>62</v>
      </c>
      <c r="Q80" s="192">
        <v>31</v>
      </c>
      <c r="R80" s="192">
        <v>3</v>
      </c>
      <c r="S80" s="195">
        <v>76</v>
      </c>
      <c r="T80" s="192">
        <v>37</v>
      </c>
      <c r="U80" s="157">
        <v>3</v>
      </c>
      <c r="V80" s="195">
        <f>D80+G80+J80+M80+P80+S80</f>
        <v>256</v>
      </c>
      <c r="W80" s="192">
        <f>E80+H80+K80+N80+Q80+T80</f>
        <v>114</v>
      </c>
      <c r="X80" s="195">
        <v>19</v>
      </c>
      <c r="Y80" s="169">
        <v>8</v>
      </c>
      <c r="Z80" s="165">
        <f>F80+I80+L80+O80+R80+U80</f>
        <v>11</v>
      </c>
    </row>
    <row r="81" spans="1:26" s="166" customFormat="1" ht="43.2" x14ac:dyDescent="0.25">
      <c r="A81" s="153">
        <v>4</v>
      </c>
      <c r="B81" s="164" t="s">
        <v>103</v>
      </c>
      <c r="C81" s="155" t="s">
        <v>93</v>
      </c>
      <c r="D81" s="195">
        <v>79</v>
      </c>
      <c r="E81" s="192">
        <v>40</v>
      </c>
      <c r="F81" s="192">
        <v>3</v>
      </c>
      <c r="G81" s="195">
        <v>58</v>
      </c>
      <c r="H81" s="192">
        <v>30</v>
      </c>
      <c r="I81" s="192">
        <v>2</v>
      </c>
      <c r="J81" s="195">
        <v>84</v>
      </c>
      <c r="K81" s="192">
        <v>44</v>
      </c>
      <c r="L81" s="192">
        <v>3</v>
      </c>
      <c r="M81" s="195">
        <v>80</v>
      </c>
      <c r="N81" s="156">
        <v>44</v>
      </c>
      <c r="O81" s="157">
        <v>3</v>
      </c>
      <c r="P81" s="195">
        <v>69</v>
      </c>
      <c r="Q81" s="192">
        <v>27</v>
      </c>
      <c r="R81" s="192">
        <v>3</v>
      </c>
      <c r="S81" s="195">
        <v>62</v>
      </c>
      <c r="T81" s="192">
        <v>34</v>
      </c>
      <c r="U81" s="157">
        <v>2</v>
      </c>
      <c r="V81" s="195">
        <f>D81+G81+J81+M81+P81+S81</f>
        <v>432</v>
      </c>
      <c r="W81" s="192">
        <f>E81+H81+K81+N81+Q81+T81</f>
        <v>219</v>
      </c>
      <c r="X81" s="195">
        <v>76</v>
      </c>
      <c r="Y81" s="192">
        <v>47</v>
      </c>
      <c r="Z81" s="165">
        <f>F81+I81+L81+O81+R81+U81</f>
        <v>16</v>
      </c>
    </row>
    <row r="82" spans="1:26" s="166" customFormat="1" ht="30" x14ac:dyDescent="0.25">
      <c r="A82" s="153">
        <v>5</v>
      </c>
      <c r="B82" s="164" t="s">
        <v>103</v>
      </c>
      <c r="C82" s="155" t="s">
        <v>13</v>
      </c>
      <c r="D82" s="195">
        <v>82</v>
      </c>
      <c r="E82" s="192">
        <v>38</v>
      </c>
      <c r="F82" s="192">
        <v>3</v>
      </c>
      <c r="G82" s="195">
        <v>114</v>
      </c>
      <c r="H82" s="192">
        <v>55</v>
      </c>
      <c r="I82" s="192">
        <v>4</v>
      </c>
      <c r="J82" s="195">
        <v>108</v>
      </c>
      <c r="K82" s="192">
        <v>52</v>
      </c>
      <c r="L82" s="192">
        <v>4</v>
      </c>
      <c r="M82" s="195">
        <v>80</v>
      </c>
      <c r="N82" s="167">
        <v>37</v>
      </c>
      <c r="O82" s="157">
        <v>3</v>
      </c>
      <c r="P82" s="195">
        <v>90</v>
      </c>
      <c r="Q82" s="192">
        <v>42</v>
      </c>
      <c r="R82" s="192">
        <v>3</v>
      </c>
      <c r="S82" s="195">
        <v>85</v>
      </c>
      <c r="T82" s="192">
        <v>32</v>
      </c>
      <c r="U82" s="157">
        <v>3</v>
      </c>
      <c r="V82" s="195">
        <f>D82+G82+J82+M82+P82+S82</f>
        <v>559</v>
      </c>
      <c r="W82" s="192">
        <f>E82+H82+K82+N82+Q82+T82</f>
        <v>256</v>
      </c>
      <c r="X82" s="195">
        <v>37</v>
      </c>
      <c r="Y82" s="192">
        <v>19</v>
      </c>
      <c r="Z82" s="165">
        <f>F82+I82+L82+O82+R82+U82</f>
        <v>20</v>
      </c>
    </row>
    <row r="83" spans="1:26" s="166" customFormat="1" ht="30.6" x14ac:dyDescent="0.25">
      <c r="A83" s="153">
        <v>6</v>
      </c>
      <c r="B83" s="164" t="s">
        <v>103</v>
      </c>
      <c r="C83" s="155" t="s">
        <v>91</v>
      </c>
      <c r="D83" s="261"/>
      <c r="E83" s="262"/>
      <c r="F83" s="262"/>
      <c r="G83" s="262"/>
      <c r="H83" s="262"/>
      <c r="I83" s="262"/>
      <c r="J83" s="262"/>
      <c r="K83" s="262"/>
      <c r="L83" s="262"/>
      <c r="M83" s="262"/>
      <c r="N83" s="262"/>
      <c r="O83" s="262"/>
      <c r="P83" s="195">
        <v>57</v>
      </c>
      <c r="Q83" s="192">
        <v>22</v>
      </c>
      <c r="R83" s="192">
        <v>2</v>
      </c>
      <c r="S83" s="195">
        <v>71</v>
      </c>
      <c r="T83" s="192">
        <v>30</v>
      </c>
      <c r="U83" s="157">
        <v>3</v>
      </c>
      <c r="V83" s="195">
        <f>D83+G83+J83+M83+P83+S83</f>
        <v>128</v>
      </c>
      <c r="W83" s="192">
        <f>E83+H83+K83+N83+Q83+T83</f>
        <v>52</v>
      </c>
      <c r="X83" s="195">
        <v>10</v>
      </c>
      <c r="Y83" s="192">
        <v>5</v>
      </c>
      <c r="Z83" s="165">
        <f>F83+I83+L83+O83+R83+U83</f>
        <v>5</v>
      </c>
    </row>
    <row r="84" spans="1:26" s="166" customFormat="1" ht="15.6" x14ac:dyDescent="0.25">
      <c r="A84" s="153">
        <v>7</v>
      </c>
      <c r="B84" s="164" t="s">
        <v>103</v>
      </c>
      <c r="C84" s="155" t="s">
        <v>14</v>
      </c>
      <c r="D84" s="195">
        <v>96</v>
      </c>
      <c r="E84" s="192">
        <v>52</v>
      </c>
      <c r="F84" s="192">
        <v>4</v>
      </c>
      <c r="G84" s="195">
        <v>114</v>
      </c>
      <c r="H84" s="192">
        <v>50</v>
      </c>
      <c r="I84" s="192">
        <v>4</v>
      </c>
      <c r="J84" s="195">
        <v>115</v>
      </c>
      <c r="K84" s="192">
        <v>64</v>
      </c>
      <c r="L84" s="192">
        <v>4</v>
      </c>
      <c r="M84" s="195">
        <v>91</v>
      </c>
      <c r="N84" s="156">
        <v>47</v>
      </c>
      <c r="O84" s="168">
        <v>3</v>
      </c>
      <c r="P84" s="195">
        <v>116</v>
      </c>
      <c r="Q84" s="192">
        <v>64</v>
      </c>
      <c r="R84" s="192">
        <v>4</v>
      </c>
      <c r="S84" s="195">
        <v>108</v>
      </c>
      <c r="T84" s="192">
        <v>49</v>
      </c>
      <c r="U84" s="157">
        <v>4</v>
      </c>
      <c r="V84" s="195">
        <f>D84+G84+J84+M84+P84+S84</f>
        <v>640</v>
      </c>
      <c r="W84" s="192">
        <f>E84+H84+K84+N84+Q84+T84</f>
        <v>326</v>
      </c>
      <c r="X84" s="195">
        <v>32</v>
      </c>
      <c r="Y84" s="169">
        <v>21</v>
      </c>
      <c r="Z84" s="165">
        <f>F84+I84+L84+O84+R84+U84</f>
        <v>23</v>
      </c>
    </row>
    <row r="85" spans="1:26" s="166" customFormat="1" ht="17.399999999999999" x14ac:dyDescent="0.25">
      <c r="A85" s="153">
        <v>8</v>
      </c>
      <c r="B85" s="164" t="s">
        <v>103</v>
      </c>
      <c r="C85" s="164" t="s">
        <v>90</v>
      </c>
      <c r="D85" s="261"/>
      <c r="E85" s="262"/>
      <c r="F85" s="262"/>
      <c r="G85" s="262"/>
      <c r="H85" s="262"/>
      <c r="I85" s="262"/>
      <c r="J85" s="262"/>
      <c r="K85" s="262"/>
      <c r="L85" s="262"/>
      <c r="M85" s="262"/>
      <c r="N85" s="262"/>
      <c r="O85" s="262"/>
      <c r="P85" s="195">
        <v>38</v>
      </c>
      <c r="Q85" s="192">
        <v>15</v>
      </c>
      <c r="R85" s="192">
        <v>2</v>
      </c>
      <c r="S85" s="195">
        <v>42</v>
      </c>
      <c r="T85" s="192">
        <v>18</v>
      </c>
      <c r="U85" s="157">
        <v>2</v>
      </c>
      <c r="V85" s="195">
        <f>D85+G85+J85+M85+P85+S85</f>
        <v>80</v>
      </c>
      <c r="W85" s="192">
        <f>E85+H85+K85+N85+Q85+T85</f>
        <v>33</v>
      </c>
      <c r="X85" s="195">
        <v>9</v>
      </c>
      <c r="Y85" s="192">
        <v>4</v>
      </c>
      <c r="Z85" s="165">
        <f>F85+I85+L85+O85+R85+U85</f>
        <v>4</v>
      </c>
    </row>
    <row r="86" spans="1:26" s="166" customFormat="1" ht="16.2" thickBot="1" x14ac:dyDescent="0.3">
      <c r="A86" s="153">
        <v>9</v>
      </c>
      <c r="B86" s="170" t="s">
        <v>103</v>
      </c>
      <c r="C86" s="155" t="s">
        <v>17</v>
      </c>
      <c r="D86" s="195">
        <v>113</v>
      </c>
      <c r="E86" s="192">
        <v>51</v>
      </c>
      <c r="F86" s="192">
        <v>4</v>
      </c>
      <c r="G86" s="195">
        <v>92</v>
      </c>
      <c r="H86" s="192">
        <v>55</v>
      </c>
      <c r="I86" s="192">
        <v>3</v>
      </c>
      <c r="J86" s="171">
        <v>88</v>
      </c>
      <c r="K86" s="248">
        <v>46</v>
      </c>
      <c r="L86" s="249">
        <v>3</v>
      </c>
      <c r="M86" s="195">
        <v>77</v>
      </c>
      <c r="N86" s="156">
        <v>33</v>
      </c>
      <c r="O86" s="172">
        <v>3</v>
      </c>
      <c r="P86" s="195">
        <v>97</v>
      </c>
      <c r="Q86" s="192">
        <v>52</v>
      </c>
      <c r="R86" s="192">
        <v>3</v>
      </c>
      <c r="S86" s="195">
        <v>89</v>
      </c>
      <c r="T86" s="192">
        <v>42</v>
      </c>
      <c r="U86" s="172">
        <v>3</v>
      </c>
      <c r="V86" s="195">
        <f>D86+G86+J86+M86+P86+S86</f>
        <v>556</v>
      </c>
      <c r="W86" s="192">
        <f>E86+H86+K86+N86+Q86+T86</f>
        <v>279</v>
      </c>
      <c r="X86" s="154">
        <v>29</v>
      </c>
      <c r="Y86" s="173">
        <v>9</v>
      </c>
      <c r="Z86" s="165">
        <f>F86+I86+L86+O86+R86+U86</f>
        <v>19</v>
      </c>
    </row>
    <row r="87" spans="1:26" s="166" customFormat="1" ht="16.2" thickBot="1" x14ac:dyDescent="0.3">
      <c r="A87" s="174"/>
      <c r="B87" s="175" t="s">
        <v>103</v>
      </c>
      <c r="C87" s="176" t="s">
        <v>33</v>
      </c>
      <c r="D87" s="177">
        <f>SUM(D78:D86)</f>
        <v>537</v>
      </c>
      <c r="E87" s="177">
        <f>SUM(E78:E86)</f>
        <v>251</v>
      </c>
      <c r="F87" s="177">
        <f>SUM(F78:F86)</f>
        <v>20</v>
      </c>
      <c r="G87" s="177">
        <f t="shared" ref="G87:Z87" si="5">SUM(G78:G86)</f>
        <v>549</v>
      </c>
      <c r="H87" s="177">
        <f t="shared" si="5"/>
        <v>257</v>
      </c>
      <c r="I87" s="177">
        <f t="shared" si="5"/>
        <v>19</v>
      </c>
      <c r="J87" s="177">
        <f t="shared" si="5"/>
        <v>629</v>
      </c>
      <c r="K87" s="177">
        <f t="shared" si="5"/>
        <v>307</v>
      </c>
      <c r="L87" s="177">
        <f t="shared" si="5"/>
        <v>23</v>
      </c>
      <c r="M87" s="177">
        <f t="shared" si="5"/>
        <v>553</v>
      </c>
      <c r="N87" s="177">
        <f t="shared" si="5"/>
        <v>264</v>
      </c>
      <c r="O87" s="178">
        <f t="shared" si="5"/>
        <v>20</v>
      </c>
      <c r="P87" s="177">
        <f t="shared" si="5"/>
        <v>713</v>
      </c>
      <c r="Q87" s="177">
        <f t="shared" si="5"/>
        <v>339</v>
      </c>
      <c r="R87" s="177">
        <f t="shared" si="5"/>
        <v>26</v>
      </c>
      <c r="S87" s="177">
        <f t="shared" si="5"/>
        <v>717</v>
      </c>
      <c r="T87" s="177">
        <f t="shared" si="5"/>
        <v>333</v>
      </c>
      <c r="U87" s="178">
        <f t="shared" si="5"/>
        <v>26</v>
      </c>
      <c r="V87" s="179">
        <f t="shared" si="5"/>
        <v>3698</v>
      </c>
      <c r="W87" s="179">
        <f t="shared" si="5"/>
        <v>1751</v>
      </c>
      <c r="X87" s="177">
        <f t="shared" si="5"/>
        <v>288</v>
      </c>
      <c r="Y87" s="177">
        <f t="shared" si="5"/>
        <v>149</v>
      </c>
      <c r="Z87" s="180">
        <f t="shared" si="5"/>
        <v>134</v>
      </c>
    </row>
    <row r="88" spans="1:26" s="166" customFormat="1" ht="15.6" x14ac:dyDescent="0.25">
      <c r="B88" s="166" t="s">
        <v>103</v>
      </c>
      <c r="C88" s="181" t="s">
        <v>89</v>
      </c>
    </row>
    <row r="89" spans="1:26" s="166" customFormat="1" ht="15.6" x14ac:dyDescent="0.25">
      <c r="A89" s="153">
        <v>1</v>
      </c>
      <c r="B89" s="164" t="s">
        <v>107</v>
      </c>
      <c r="C89" s="155" t="s">
        <v>10</v>
      </c>
      <c r="D89" s="195">
        <v>109</v>
      </c>
      <c r="E89" s="192">
        <v>48</v>
      </c>
      <c r="F89" s="192">
        <v>4</v>
      </c>
      <c r="G89" s="195">
        <v>116</v>
      </c>
      <c r="H89" s="192">
        <v>52</v>
      </c>
      <c r="I89" s="192">
        <v>4</v>
      </c>
      <c r="J89" s="195">
        <v>92</v>
      </c>
      <c r="K89" s="192">
        <v>39</v>
      </c>
      <c r="L89" s="192">
        <v>3</v>
      </c>
      <c r="M89" s="195">
        <v>96</v>
      </c>
      <c r="N89" s="157">
        <v>42</v>
      </c>
      <c r="O89" s="157">
        <v>3</v>
      </c>
      <c r="P89" s="195">
        <v>91</v>
      </c>
      <c r="Q89" s="192">
        <v>48</v>
      </c>
      <c r="R89" s="192">
        <v>3</v>
      </c>
      <c r="S89" s="195">
        <v>88</v>
      </c>
      <c r="T89" s="192">
        <v>38</v>
      </c>
      <c r="U89" s="192">
        <v>3</v>
      </c>
      <c r="V89" s="195">
        <f>D89+G89+J89+M89+P89+S89</f>
        <v>592</v>
      </c>
      <c r="W89" s="192">
        <f>E89+H89+K89+N89+Q89+T89</f>
        <v>267</v>
      </c>
      <c r="X89" s="195">
        <v>16</v>
      </c>
      <c r="Y89" s="192">
        <v>7</v>
      </c>
      <c r="Z89" s="165">
        <f>F89+I89+L89+O89+R89+U89</f>
        <v>20</v>
      </c>
    </row>
    <row r="90" spans="1:26" s="166" customFormat="1" ht="28.2" x14ac:dyDescent="0.25">
      <c r="A90" s="153">
        <v>2</v>
      </c>
      <c r="B90" s="164" t="s">
        <v>107</v>
      </c>
      <c r="C90" s="155" t="s">
        <v>106</v>
      </c>
      <c r="D90" s="195">
        <v>55</v>
      </c>
      <c r="E90" s="192">
        <v>24</v>
      </c>
      <c r="F90" s="192">
        <v>2</v>
      </c>
      <c r="G90" s="195">
        <v>57</v>
      </c>
      <c r="H90" s="192">
        <v>19</v>
      </c>
      <c r="I90" s="192">
        <v>2</v>
      </c>
      <c r="J90" s="195">
        <v>66</v>
      </c>
      <c r="K90" s="192">
        <v>25</v>
      </c>
      <c r="L90" s="192">
        <v>3</v>
      </c>
      <c r="M90" s="195">
        <v>120</v>
      </c>
      <c r="N90" s="167">
        <v>51</v>
      </c>
      <c r="O90" s="157">
        <v>4</v>
      </c>
      <c r="P90" s="195">
        <v>85</v>
      </c>
      <c r="Q90" s="192">
        <v>43</v>
      </c>
      <c r="R90" s="192">
        <v>3</v>
      </c>
      <c r="S90" s="195">
        <v>85</v>
      </c>
      <c r="T90" s="192">
        <v>42</v>
      </c>
      <c r="U90" s="192">
        <v>3</v>
      </c>
      <c r="V90" s="195">
        <f>D90+G90+J90+M90+P90+S90</f>
        <v>468</v>
      </c>
      <c r="W90" s="192">
        <f>E90+H90+K90+N90+Q90+T90</f>
        <v>204</v>
      </c>
      <c r="X90" s="195">
        <v>90</v>
      </c>
      <c r="Y90" s="192">
        <v>45</v>
      </c>
      <c r="Z90" s="165">
        <f>F90+I90+L90+O90+R90+U90</f>
        <v>17</v>
      </c>
    </row>
    <row r="91" spans="1:26" s="166" customFormat="1" ht="17.399999999999999" x14ac:dyDescent="0.25">
      <c r="A91" s="153">
        <v>3</v>
      </c>
      <c r="B91" s="164" t="s">
        <v>107</v>
      </c>
      <c r="C91" s="155" t="s">
        <v>105</v>
      </c>
      <c r="D91" s="261"/>
      <c r="E91" s="262"/>
      <c r="F91" s="262"/>
      <c r="G91" s="262"/>
      <c r="H91" s="262"/>
      <c r="I91" s="263"/>
      <c r="J91" s="195">
        <v>21</v>
      </c>
      <c r="K91" s="192">
        <v>10</v>
      </c>
      <c r="L91" s="192">
        <v>1</v>
      </c>
      <c r="M91" s="195">
        <v>48</v>
      </c>
      <c r="N91" s="156">
        <v>17</v>
      </c>
      <c r="O91" s="168">
        <v>2</v>
      </c>
      <c r="P91" s="195">
        <v>77</v>
      </c>
      <c r="Q91" s="192">
        <v>32</v>
      </c>
      <c r="R91" s="192">
        <v>3</v>
      </c>
      <c r="S91" s="195">
        <v>60</v>
      </c>
      <c r="T91" s="192">
        <v>33</v>
      </c>
      <c r="U91" s="192">
        <v>3</v>
      </c>
      <c r="V91" s="195">
        <f>D91+G91+J91+M91+P91+S91</f>
        <v>206</v>
      </c>
      <c r="W91" s="192">
        <f>E91+H91+K91+N91+Q91+T91</f>
        <v>92</v>
      </c>
      <c r="X91" s="195">
        <v>34</v>
      </c>
      <c r="Y91" s="169">
        <v>13</v>
      </c>
      <c r="Z91" s="165">
        <f>F91+I91+L91+O91+R91+U91</f>
        <v>9</v>
      </c>
    </row>
    <row r="92" spans="1:26" s="166" customFormat="1" ht="43.2" x14ac:dyDescent="0.25">
      <c r="A92" s="153">
        <v>4</v>
      </c>
      <c r="B92" s="164" t="s">
        <v>107</v>
      </c>
      <c r="C92" s="155" t="s">
        <v>93</v>
      </c>
      <c r="D92" s="195">
        <v>79</v>
      </c>
      <c r="E92" s="192">
        <v>33</v>
      </c>
      <c r="F92" s="192">
        <v>3</v>
      </c>
      <c r="G92" s="195">
        <v>77</v>
      </c>
      <c r="H92" s="192">
        <v>39</v>
      </c>
      <c r="I92" s="192">
        <v>3</v>
      </c>
      <c r="J92" s="195">
        <v>56</v>
      </c>
      <c r="K92" s="192">
        <v>29</v>
      </c>
      <c r="L92" s="192">
        <v>2</v>
      </c>
      <c r="M92" s="195">
        <v>79</v>
      </c>
      <c r="N92" s="156">
        <v>42</v>
      </c>
      <c r="O92" s="157">
        <v>3</v>
      </c>
      <c r="P92" s="195">
        <v>64</v>
      </c>
      <c r="Q92" s="192">
        <v>34</v>
      </c>
      <c r="R92" s="192">
        <v>3</v>
      </c>
      <c r="S92" s="195">
        <v>63</v>
      </c>
      <c r="T92" s="192">
        <v>24</v>
      </c>
      <c r="U92" s="192">
        <v>3</v>
      </c>
      <c r="V92" s="195">
        <f>D92+G92+J92+M92+P92+S92</f>
        <v>418</v>
      </c>
      <c r="W92" s="192">
        <f>E92+H92+K92+N92+Q92+T92</f>
        <v>201</v>
      </c>
      <c r="X92" s="195">
        <v>73</v>
      </c>
      <c r="Y92" s="192">
        <v>43</v>
      </c>
      <c r="Z92" s="165">
        <f>F92+I92+L92+O92+R92+U92</f>
        <v>17</v>
      </c>
    </row>
    <row r="93" spans="1:26" s="166" customFormat="1" ht="30" x14ac:dyDescent="0.25">
      <c r="A93" s="153">
        <v>5</v>
      </c>
      <c r="B93" s="164" t="s">
        <v>107</v>
      </c>
      <c r="C93" s="155" t="s">
        <v>13</v>
      </c>
      <c r="D93" s="195">
        <v>111</v>
      </c>
      <c r="E93" s="192">
        <v>51</v>
      </c>
      <c r="F93" s="192">
        <v>4</v>
      </c>
      <c r="G93" s="195">
        <v>100</v>
      </c>
      <c r="H93" s="192">
        <v>49</v>
      </c>
      <c r="I93" s="192">
        <v>4</v>
      </c>
      <c r="J93" s="195">
        <v>112</v>
      </c>
      <c r="K93" s="192">
        <v>53</v>
      </c>
      <c r="L93" s="192">
        <v>4</v>
      </c>
      <c r="M93" s="195">
        <v>92</v>
      </c>
      <c r="N93" s="167">
        <v>46</v>
      </c>
      <c r="O93" s="157">
        <v>4</v>
      </c>
      <c r="P93" s="195">
        <v>82</v>
      </c>
      <c r="Q93" s="192">
        <v>38</v>
      </c>
      <c r="R93" s="192">
        <v>3</v>
      </c>
      <c r="S93" s="195">
        <v>82</v>
      </c>
      <c r="T93" s="192">
        <v>39</v>
      </c>
      <c r="U93" s="192">
        <v>3</v>
      </c>
      <c r="V93" s="195">
        <f>D93+G93+J93+M93+P93+S93</f>
        <v>579</v>
      </c>
      <c r="W93" s="192">
        <f>E93+H93+K93+N93+Q93+T93</f>
        <v>276</v>
      </c>
      <c r="X93" s="195">
        <v>52</v>
      </c>
      <c r="Y93" s="192">
        <v>25</v>
      </c>
      <c r="Z93" s="165">
        <f>F93+I93+L93+O93+R93+U93</f>
        <v>22</v>
      </c>
    </row>
    <row r="94" spans="1:26" s="166" customFormat="1" ht="30.6" x14ac:dyDescent="0.25">
      <c r="A94" s="153">
        <v>6</v>
      </c>
      <c r="B94" s="164" t="s">
        <v>107</v>
      </c>
      <c r="C94" s="155" t="s">
        <v>91</v>
      </c>
      <c r="D94" s="261"/>
      <c r="E94" s="262"/>
      <c r="F94" s="262"/>
      <c r="G94" s="262"/>
      <c r="H94" s="262"/>
      <c r="I94" s="262"/>
      <c r="J94" s="262"/>
      <c r="K94" s="262"/>
      <c r="L94" s="262"/>
      <c r="M94" s="262"/>
      <c r="N94" s="262"/>
      <c r="O94" s="262"/>
      <c r="P94" s="262"/>
      <c r="Q94" s="262"/>
      <c r="R94" s="263"/>
      <c r="S94" s="195">
        <v>52</v>
      </c>
      <c r="T94" s="192">
        <v>19</v>
      </c>
      <c r="U94" s="192">
        <v>2</v>
      </c>
      <c r="V94" s="195">
        <f>D94+G94+J94+M94+P94+S94</f>
        <v>52</v>
      </c>
      <c r="W94" s="192">
        <f>E94+H94+K94+N94+Q94+T94</f>
        <v>19</v>
      </c>
      <c r="X94" s="195">
        <v>2</v>
      </c>
      <c r="Y94" s="192">
        <v>1</v>
      </c>
      <c r="Z94" s="165">
        <f>F94+I94+L94+O94+R94+U94</f>
        <v>2</v>
      </c>
    </row>
    <row r="95" spans="1:26" s="166" customFormat="1" ht="15.6" x14ac:dyDescent="0.25">
      <c r="A95" s="153">
        <v>7</v>
      </c>
      <c r="B95" s="164" t="s">
        <v>107</v>
      </c>
      <c r="C95" s="155" t="s">
        <v>14</v>
      </c>
      <c r="D95" s="195">
        <v>108</v>
      </c>
      <c r="E95" s="192">
        <v>47</v>
      </c>
      <c r="F95" s="192">
        <v>4</v>
      </c>
      <c r="G95" s="195">
        <v>102</v>
      </c>
      <c r="H95" s="192">
        <v>53</v>
      </c>
      <c r="I95" s="192">
        <v>4</v>
      </c>
      <c r="J95" s="195">
        <v>108</v>
      </c>
      <c r="K95" s="192">
        <v>50</v>
      </c>
      <c r="L95" s="192">
        <v>4</v>
      </c>
      <c r="M95" s="195">
        <v>116</v>
      </c>
      <c r="N95" s="156">
        <v>62</v>
      </c>
      <c r="O95" s="168">
        <v>4</v>
      </c>
      <c r="P95" s="195">
        <v>89</v>
      </c>
      <c r="Q95" s="192">
        <v>51</v>
      </c>
      <c r="R95" s="192">
        <v>3</v>
      </c>
      <c r="S95" s="195">
        <v>103</v>
      </c>
      <c r="T95" s="192">
        <v>55</v>
      </c>
      <c r="U95" s="192">
        <v>4</v>
      </c>
      <c r="V95" s="195">
        <f>D95+G95+J95+M95+P95+S95</f>
        <v>626</v>
      </c>
      <c r="W95" s="192">
        <f>E95+H95+K95+N95+Q95+T95</f>
        <v>318</v>
      </c>
      <c r="X95" s="195">
        <v>49</v>
      </c>
      <c r="Y95" s="169">
        <v>26</v>
      </c>
      <c r="Z95" s="165">
        <f>F95+I95+L95+O95+R95+U95</f>
        <v>23</v>
      </c>
    </row>
    <row r="96" spans="1:26" s="166" customFormat="1" ht="17.399999999999999" x14ac:dyDescent="0.25">
      <c r="A96" s="153">
        <v>8</v>
      </c>
      <c r="B96" s="164" t="s">
        <v>107</v>
      </c>
      <c r="C96" s="164" t="s">
        <v>90</v>
      </c>
      <c r="D96" s="261"/>
      <c r="E96" s="262"/>
      <c r="F96" s="262"/>
      <c r="G96" s="262"/>
      <c r="H96" s="262"/>
      <c r="I96" s="262"/>
      <c r="J96" s="262"/>
      <c r="K96" s="262"/>
      <c r="L96" s="262"/>
      <c r="M96" s="262"/>
      <c r="N96" s="262"/>
      <c r="O96" s="262"/>
      <c r="P96" s="262"/>
      <c r="Q96" s="262"/>
      <c r="R96" s="263"/>
      <c r="S96" s="195">
        <v>37</v>
      </c>
      <c r="T96" s="192">
        <v>14</v>
      </c>
      <c r="U96" s="192">
        <v>2</v>
      </c>
      <c r="V96" s="195">
        <f>D96+G96+J96+M96+P96+S96</f>
        <v>37</v>
      </c>
      <c r="W96" s="192">
        <f>E96+H96+K96+N96+Q96+T96</f>
        <v>14</v>
      </c>
      <c r="X96" s="195">
        <v>4</v>
      </c>
      <c r="Y96" s="192">
        <v>2</v>
      </c>
      <c r="Z96" s="165">
        <f>F96+I96+L96+O96+R96+U96</f>
        <v>2</v>
      </c>
    </row>
    <row r="97" spans="1:28" s="166" customFormat="1" ht="16.2" thickBot="1" x14ac:dyDescent="0.3">
      <c r="A97" s="153">
        <v>9</v>
      </c>
      <c r="B97" s="170" t="s">
        <v>107</v>
      </c>
      <c r="C97" s="155" t="s">
        <v>17</v>
      </c>
      <c r="D97" s="195">
        <v>104</v>
      </c>
      <c r="E97" s="192">
        <v>47</v>
      </c>
      <c r="F97" s="192">
        <v>4</v>
      </c>
      <c r="G97" s="195">
        <v>117</v>
      </c>
      <c r="H97" s="192">
        <v>55</v>
      </c>
      <c r="I97" s="192">
        <v>4</v>
      </c>
      <c r="J97" s="171">
        <v>91</v>
      </c>
      <c r="K97" s="172">
        <v>53</v>
      </c>
      <c r="L97" s="173">
        <v>3</v>
      </c>
      <c r="M97" s="195">
        <v>89</v>
      </c>
      <c r="N97" s="156">
        <v>44</v>
      </c>
      <c r="O97" s="172">
        <v>3</v>
      </c>
      <c r="P97" s="195">
        <v>82</v>
      </c>
      <c r="Q97" s="192">
        <v>32</v>
      </c>
      <c r="R97" s="192">
        <v>3</v>
      </c>
      <c r="S97" s="195">
        <v>87</v>
      </c>
      <c r="T97" s="192">
        <v>50</v>
      </c>
      <c r="U97" s="173">
        <v>3</v>
      </c>
      <c r="V97" s="195">
        <f>D97+G97+J97+M97+P97+S97</f>
        <v>570</v>
      </c>
      <c r="W97" s="192">
        <f>E97+H97+K97+N97+Q97+T97</f>
        <v>281</v>
      </c>
      <c r="X97" s="154">
        <v>35</v>
      </c>
      <c r="Y97" s="173">
        <v>12</v>
      </c>
      <c r="Z97" s="165">
        <f>F97+I97+L97+O97+R97+U97</f>
        <v>20</v>
      </c>
    </row>
    <row r="98" spans="1:28" s="166" customFormat="1" ht="16.2" thickBot="1" x14ac:dyDescent="0.3">
      <c r="A98" s="174"/>
      <c r="B98" s="175" t="s">
        <v>107</v>
      </c>
      <c r="C98" s="176" t="s">
        <v>33</v>
      </c>
      <c r="D98" s="177">
        <f>SUM(D89:D97)</f>
        <v>566</v>
      </c>
      <c r="E98" s="177">
        <f>SUM(E89:E97)</f>
        <v>250</v>
      </c>
      <c r="F98" s="177">
        <f>SUM(F89:F97)</f>
        <v>21</v>
      </c>
      <c r="G98" s="177">
        <f t="shared" ref="G98:Z98" si="6">SUM(G89:G97)</f>
        <v>569</v>
      </c>
      <c r="H98" s="177">
        <f t="shared" si="6"/>
        <v>267</v>
      </c>
      <c r="I98" s="177">
        <f t="shared" si="6"/>
        <v>21</v>
      </c>
      <c r="J98" s="177">
        <f t="shared" si="6"/>
        <v>546</v>
      </c>
      <c r="K98" s="177">
        <f t="shared" si="6"/>
        <v>259</v>
      </c>
      <c r="L98" s="177">
        <f t="shared" si="6"/>
        <v>20</v>
      </c>
      <c r="M98" s="177">
        <f t="shared" si="6"/>
        <v>640</v>
      </c>
      <c r="N98" s="177">
        <f t="shared" si="6"/>
        <v>304</v>
      </c>
      <c r="O98" s="178">
        <f t="shared" si="6"/>
        <v>23</v>
      </c>
      <c r="P98" s="177">
        <f t="shared" si="6"/>
        <v>570</v>
      </c>
      <c r="Q98" s="177">
        <f t="shared" si="6"/>
        <v>278</v>
      </c>
      <c r="R98" s="177">
        <f t="shared" si="6"/>
        <v>21</v>
      </c>
      <c r="S98" s="177">
        <f t="shared" si="6"/>
        <v>657</v>
      </c>
      <c r="T98" s="177">
        <f t="shared" si="6"/>
        <v>314</v>
      </c>
      <c r="U98" s="177">
        <f t="shared" si="6"/>
        <v>26</v>
      </c>
      <c r="V98" s="179">
        <f t="shared" si="6"/>
        <v>3548</v>
      </c>
      <c r="W98" s="179">
        <f t="shared" si="6"/>
        <v>1672</v>
      </c>
      <c r="X98" s="177">
        <f t="shared" si="6"/>
        <v>355</v>
      </c>
      <c r="Y98" s="177">
        <f t="shared" si="6"/>
        <v>174</v>
      </c>
      <c r="Z98" s="180">
        <f t="shared" si="6"/>
        <v>132</v>
      </c>
    </row>
    <row r="99" spans="1:28" s="166" customFormat="1" ht="15.6" x14ac:dyDescent="0.25">
      <c r="B99" s="166" t="s">
        <v>107</v>
      </c>
      <c r="C99" s="181" t="s">
        <v>89</v>
      </c>
    </row>
    <row r="100" spans="1:28" s="166" customFormat="1" ht="15.6" x14ac:dyDescent="0.25">
      <c r="A100" s="192">
        <v>1</v>
      </c>
      <c r="B100" s="164" t="s">
        <v>108</v>
      </c>
      <c r="C100" s="155" t="s">
        <v>10</v>
      </c>
      <c r="D100" s="195">
        <v>89</v>
      </c>
      <c r="E100" s="192">
        <v>42</v>
      </c>
      <c r="F100" s="192">
        <v>3</v>
      </c>
      <c r="G100" s="195">
        <v>113</v>
      </c>
      <c r="H100" s="192">
        <v>51</v>
      </c>
      <c r="I100" s="192">
        <v>4</v>
      </c>
      <c r="J100" s="195">
        <v>118</v>
      </c>
      <c r="K100" s="192">
        <v>56</v>
      </c>
      <c r="L100" s="192">
        <v>4</v>
      </c>
      <c r="M100" s="195">
        <v>87</v>
      </c>
      <c r="N100" s="157">
        <v>34</v>
      </c>
      <c r="O100" s="157">
        <v>3</v>
      </c>
      <c r="P100" s="195">
        <v>94</v>
      </c>
      <c r="Q100" s="192">
        <v>43</v>
      </c>
      <c r="R100" s="192">
        <v>3</v>
      </c>
      <c r="S100" s="195">
        <v>89</v>
      </c>
      <c r="T100" s="192">
        <v>45</v>
      </c>
      <c r="U100" s="192">
        <v>3</v>
      </c>
      <c r="V100" s="195">
        <f>D100+G100+J100+M100+P100+S100</f>
        <v>590</v>
      </c>
      <c r="W100" s="192">
        <f>E100+H100+K100+N100+Q100+T100</f>
        <v>271</v>
      </c>
      <c r="X100" s="195">
        <v>19</v>
      </c>
      <c r="Y100" s="192">
        <v>8</v>
      </c>
      <c r="Z100" s="192">
        <f>F100+I100+L100+O100+R100+U100</f>
        <v>20</v>
      </c>
      <c r="AB100" s="190"/>
    </row>
    <row r="101" spans="1:28" s="166" customFormat="1" ht="28.2" x14ac:dyDescent="0.25">
      <c r="A101" s="192">
        <v>2</v>
      </c>
      <c r="B101" s="164" t="s">
        <v>108</v>
      </c>
      <c r="C101" s="155" t="s">
        <v>106</v>
      </c>
      <c r="D101" s="195">
        <v>58</v>
      </c>
      <c r="E101" s="192">
        <v>23</v>
      </c>
      <c r="F101" s="192">
        <v>2</v>
      </c>
      <c r="G101" s="195">
        <v>55</v>
      </c>
      <c r="H101" s="192">
        <v>23</v>
      </c>
      <c r="I101" s="192">
        <v>2</v>
      </c>
      <c r="J101" s="195">
        <v>80</v>
      </c>
      <c r="K101" s="192">
        <v>21</v>
      </c>
      <c r="L101" s="192">
        <v>3</v>
      </c>
      <c r="M101" s="195">
        <v>83</v>
      </c>
      <c r="N101" s="167">
        <v>38</v>
      </c>
      <c r="O101" s="157">
        <v>3</v>
      </c>
      <c r="P101" s="195">
        <v>111</v>
      </c>
      <c r="Q101" s="192">
        <v>39</v>
      </c>
      <c r="R101" s="192">
        <v>4</v>
      </c>
      <c r="S101" s="195">
        <v>64</v>
      </c>
      <c r="T101" s="192">
        <v>34</v>
      </c>
      <c r="U101" s="192">
        <v>3</v>
      </c>
      <c r="V101" s="195">
        <f>D101+G101+J101+M101+P101+S101</f>
        <v>451</v>
      </c>
      <c r="W101" s="192">
        <f>E101+H101+K101+N101+Q101+T101</f>
        <v>178</v>
      </c>
      <c r="X101" s="195">
        <v>95</v>
      </c>
      <c r="Y101" s="192">
        <v>39</v>
      </c>
      <c r="Z101" s="192">
        <f>F101+I101+L101+O101+R101+U101</f>
        <v>17</v>
      </c>
      <c r="AB101" s="190"/>
    </row>
    <row r="102" spans="1:28" s="166" customFormat="1" ht="17.399999999999999" x14ac:dyDescent="0.25">
      <c r="A102" s="192">
        <v>3</v>
      </c>
      <c r="B102" s="164" t="s">
        <v>108</v>
      </c>
      <c r="C102" s="155" t="s">
        <v>105</v>
      </c>
      <c r="D102" s="261"/>
      <c r="E102" s="262"/>
      <c r="F102" s="262"/>
      <c r="G102" s="262"/>
      <c r="H102" s="262"/>
      <c r="I102" s="262"/>
      <c r="J102" s="262"/>
      <c r="K102" s="262"/>
      <c r="L102" s="263"/>
      <c r="M102" s="195">
        <v>24</v>
      </c>
      <c r="N102" s="156">
        <v>12</v>
      </c>
      <c r="O102" s="168">
        <v>1</v>
      </c>
      <c r="P102" s="195">
        <v>49</v>
      </c>
      <c r="Q102" s="192">
        <v>18</v>
      </c>
      <c r="R102" s="192">
        <v>2</v>
      </c>
      <c r="S102" s="195">
        <v>69</v>
      </c>
      <c r="T102" s="192">
        <v>30</v>
      </c>
      <c r="U102" s="192">
        <v>3</v>
      </c>
      <c r="V102" s="195">
        <f>D102+G102+J102+M102+P102+S102</f>
        <v>142</v>
      </c>
      <c r="W102" s="192">
        <f>E102+H102+K102+N102+Q102+T102</f>
        <v>60</v>
      </c>
      <c r="X102" s="195">
        <v>23</v>
      </c>
      <c r="Y102" s="169">
        <v>8</v>
      </c>
      <c r="Z102" s="192">
        <f>F102+I102+L102+O102+R102+U102</f>
        <v>6</v>
      </c>
      <c r="AB102" s="190"/>
    </row>
    <row r="103" spans="1:28" s="166" customFormat="1" ht="43.2" x14ac:dyDescent="0.25">
      <c r="A103" s="192">
        <v>4</v>
      </c>
      <c r="B103" s="164" t="s">
        <v>108</v>
      </c>
      <c r="C103" s="155" t="s">
        <v>93</v>
      </c>
      <c r="D103" s="195">
        <v>81</v>
      </c>
      <c r="E103" s="192">
        <v>38</v>
      </c>
      <c r="F103" s="192">
        <v>3</v>
      </c>
      <c r="G103" s="195">
        <v>82</v>
      </c>
      <c r="H103" s="192">
        <v>34</v>
      </c>
      <c r="I103" s="192">
        <v>3</v>
      </c>
      <c r="J103" s="195">
        <v>83</v>
      </c>
      <c r="K103" s="192">
        <v>41</v>
      </c>
      <c r="L103" s="192">
        <v>3</v>
      </c>
      <c r="M103" s="195">
        <v>60</v>
      </c>
      <c r="N103" s="156">
        <v>29</v>
      </c>
      <c r="O103" s="157">
        <v>2</v>
      </c>
      <c r="P103" s="195">
        <v>78</v>
      </c>
      <c r="Q103" s="192">
        <v>42</v>
      </c>
      <c r="R103" s="192">
        <v>3</v>
      </c>
      <c r="S103" s="195">
        <v>60</v>
      </c>
      <c r="T103" s="192">
        <v>33</v>
      </c>
      <c r="U103" s="192">
        <v>2</v>
      </c>
      <c r="V103" s="195">
        <f>D103+G103+J103+M103+P103+S103</f>
        <v>444</v>
      </c>
      <c r="W103" s="192">
        <f>E103+H103+K103+N103+Q103+T103</f>
        <v>217</v>
      </c>
      <c r="X103" s="195">
        <v>102</v>
      </c>
      <c r="Y103" s="192">
        <v>55</v>
      </c>
      <c r="Z103" s="192">
        <f>F103+I103+L103+O103+R103+U103</f>
        <v>16</v>
      </c>
      <c r="AB103" s="190"/>
    </row>
    <row r="104" spans="1:28" s="166" customFormat="1" ht="30" x14ac:dyDescent="0.25">
      <c r="A104" s="192">
        <v>5</v>
      </c>
      <c r="B104" s="164" t="s">
        <v>108</v>
      </c>
      <c r="C104" s="155" t="s">
        <v>13</v>
      </c>
      <c r="D104" s="195">
        <v>101</v>
      </c>
      <c r="E104" s="192">
        <v>55</v>
      </c>
      <c r="F104" s="192">
        <v>4</v>
      </c>
      <c r="G104" s="195">
        <v>111</v>
      </c>
      <c r="H104" s="192">
        <v>51</v>
      </c>
      <c r="I104" s="192">
        <v>4</v>
      </c>
      <c r="J104" s="195">
        <v>87</v>
      </c>
      <c r="K104" s="192">
        <v>45</v>
      </c>
      <c r="L104" s="192">
        <v>4</v>
      </c>
      <c r="M104" s="195">
        <v>100</v>
      </c>
      <c r="N104" s="167">
        <v>51</v>
      </c>
      <c r="O104" s="157">
        <v>4</v>
      </c>
      <c r="P104" s="195">
        <v>94</v>
      </c>
      <c r="Q104" s="192">
        <v>38</v>
      </c>
      <c r="R104" s="192">
        <v>4</v>
      </c>
      <c r="S104" s="195">
        <v>68</v>
      </c>
      <c r="T104" s="192">
        <v>34</v>
      </c>
      <c r="U104" s="192">
        <v>3</v>
      </c>
      <c r="V104" s="195">
        <f>D104+G104+J104+M104+P104+S104</f>
        <v>561</v>
      </c>
      <c r="W104" s="192">
        <f>E104+H104+K104+N104+Q104+T104</f>
        <v>274</v>
      </c>
      <c r="X104" s="195">
        <v>63</v>
      </c>
      <c r="Y104" s="192">
        <v>28</v>
      </c>
      <c r="Z104" s="192">
        <f>F104+I104+L104+O104+R104+U104</f>
        <v>23</v>
      </c>
      <c r="AB104" s="190"/>
    </row>
    <row r="105" spans="1:28" s="166" customFormat="1" ht="15.6" x14ac:dyDescent="0.25">
      <c r="A105" s="192">
        <v>6</v>
      </c>
      <c r="B105" s="164" t="s">
        <v>108</v>
      </c>
      <c r="C105" s="155" t="s">
        <v>14</v>
      </c>
      <c r="D105" s="195">
        <v>83</v>
      </c>
      <c r="E105" s="192">
        <v>42</v>
      </c>
      <c r="F105" s="192">
        <v>3</v>
      </c>
      <c r="G105" s="195">
        <v>111</v>
      </c>
      <c r="H105" s="192">
        <v>46</v>
      </c>
      <c r="I105" s="192">
        <v>4</v>
      </c>
      <c r="J105" s="195">
        <v>113</v>
      </c>
      <c r="K105" s="192">
        <v>68</v>
      </c>
      <c r="L105" s="192">
        <v>4</v>
      </c>
      <c r="M105" s="195">
        <v>110</v>
      </c>
      <c r="N105" s="156">
        <v>49</v>
      </c>
      <c r="O105" s="168">
        <v>4</v>
      </c>
      <c r="P105" s="195">
        <v>109</v>
      </c>
      <c r="Q105" s="192">
        <v>54</v>
      </c>
      <c r="R105" s="192">
        <v>4</v>
      </c>
      <c r="S105" s="195">
        <v>87</v>
      </c>
      <c r="T105" s="192">
        <v>51</v>
      </c>
      <c r="U105" s="192">
        <v>3</v>
      </c>
      <c r="V105" s="195">
        <f>D105+G105+J105+M105+P105+S105</f>
        <v>613</v>
      </c>
      <c r="W105" s="192">
        <f>E105+H105+K105+N105+Q105+T105</f>
        <v>310</v>
      </c>
      <c r="X105" s="195">
        <v>59</v>
      </c>
      <c r="Y105" s="169">
        <v>32</v>
      </c>
      <c r="Z105" s="192">
        <f>F105+I105+L105+O105+R105+U105</f>
        <v>22</v>
      </c>
      <c r="AB105" s="190"/>
    </row>
    <row r="106" spans="1:28" s="166" customFormat="1" ht="15.6" x14ac:dyDescent="0.25">
      <c r="A106" s="192">
        <v>7</v>
      </c>
      <c r="B106" s="164" t="s">
        <v>108</v>
      </c>
      <c r="C106" s="155" t="s">
        <v>17</v>
      </c>
      <c r="D106" s="195">
        <v>87</v>
      </c>
      <c r="E106" s="192">
        <v>40</v>
      </c>
      <c r="F106" s="192">
        <v>3</v>
      </c>
      <c r="G106" s="195">
        <v>102</v>
      </c>
      <c r="H106" s="192">
        <v>46</v>
      </c>
      <c r="I106" s="192">
        <v>4</v>
      </c>
      <c r="J106" s="185">
        <v>109</v>
      </c>
      <c r="K106" s="157">
        <v>53</v>
      </c>
      <c r="L106" s="192">
        <v>4</v>
      </c>
      <c r="M106" s="195">
        <v>91</v>
      </c>
      <c r="N106" s="167">
        <v>53</v>
      </c>
      <c r="O106" s="157">
        <v>3</v>
      </c>
      <c r="P106" s="195">
        <v>89</v>
      </c>
      <c r="Q106" s="192">
        <v>45</v>
      </c>
      <c r="R106" s="192">
        <v>3</v>
      </c>
      <c r="S106" s="195">
        <v>76</v>
      </c>
      <c r="T106" s="192">
        <v>30</v>
      </c>
      <c r="U106" s="192">
        <v>3</v>
      </c>
      <c r="V106" s="195">
        <f>D106+G106+J106+M106+P106+S106</f>
        <v>554</v>
      </c>
      <c r="W106" s="192">
        <f>E106+H106+K106+N106+Q106+T106</f>
        <v>267</v>
      </c>
      <c r="X106" s="195">
        <v>47</v>
      </c>
      <c r="Y106" s="192">
        <v>18</v>
      </c>
      <c r="Z106" s="192">
        <f>F106+I106+L106+O106+R106+U106</f>
        <v>20</v>
      </c>
      <c r="AB106" s="190"/>
    </row>
    <row r="107" spans="1:28" s="166" customFormat="1" ht="15.6" x14ac:dyDescent="0.25">
      <c r="A107" s="195"/>
      <c r="B107" s="186" t="s">
        <v>108</v>
      </c>
      <c r="C107" s="187" t="s">
        <v>33</v>
      </c>
      <c r="D107" s="195">
        <f t="shared" ref="D107:Z107" si="7">SUM(D100:D106)</f>
        <v>499</v>
      </c>
      <c r="E107" s="195">
        <f t="shared" si="7"/>
        <v>240</v>
      </c>
      <c r="F107" s="195">
        <f t="shared" si="7"/>
        <v>18</v>
      </c>
      <c r="G107" s="195">
        <f t="shared" si="7"/>
        <v>574</v>
      </c>
      <c r="H107" s="195">
        <f t="shared" si="7"/>
        <v>251</v>
      </c>
      <c r="I107" s="195">
        <f t="shared" si="7"/>
        <v>21</v>
      </c>
      <c r="J107" s="195">
        <f t="shared" si="7"/>
        <v>590</v>
      </c>
      <c r="K107" s="195">
        <f t="shared" si="7"/>
        <v>284</v>
      </c>
      <c r="L107" s="195">
        <f t="shared" si="7"/>
        <v>22</v>
      </c>
      <c r="M107" s="195">
        <f t="shared" si="7"/>
        <v>555</v>
      </c>
      <c r="N107" s="195">
        <f t="shared" si="7"/>
        <v>266</v>
      </c>
      <c r="O107" s="188">
        <f t="shared" si="7"/>
        <v>20</v>
      </c>
      <c r="P107" s="195">
        <f t="shared" si="7"/>
        <v>624</v>
      </c>
      <c r="Q107" s="195">
        <f t="shared" si="7"/>
        <v>279</v>
      </c>
      <c r="R107" s="195">
        <f t="shared" si="7"/>
        <v>23</v>
      </c>
      <c r="S107" s="195">
        <f t="shared" si="7"/>
        <v>513</v>
      </c>
      <c r="T107" s="195">
        <f t="shared" si="7"/>
        <v>257</v>
      </c>
      <c r="U107" s="195">
        <f t="shared" si="7"/>
        <v>20</v>
      </c>
      <c r="V107" s="189">
        <f t="shared" si="7"/>
        <v>3355</v>
      </c>
      <c r="W107" s="189">
        <f t="shared" si="7"/>
        <v>1577</v>
      </c>
      <c r="X107" s="195">
        <f t="shared" si="7"/>
        <v>408</v>
      </c>
      <c r="Y107" s="195">
        <f t="shared" si="7"/>
        <v>188</v>
      </c>
      <c r="Z107" s="195">
        <f t="shared" si="7"/>
        <v>124</v>
      </c>
      <c r="AB107" s="190"/>
    </row>
    <row r="108" spans="1:28" s="166" customFormat="1" ht="15.6" x14ac:dyDescent="0.25">
      <c r="B108" s="166" t="s">
        <v>108</v>
      </c>
      <c r="C108" s="181" t="s">
        <v>89</v>
      </c>
      <c r="AB108" s="190"/>
    </row>
    <row r="109" spans="1:28" s="166" customFormat="1" ht="15.6" x14ac:dyDescent="0.25">
      <c r="A109" s="192">
        <v>1</v>
      </c>
      <c r="B109" s="164" t="s">
        <v>109</v>
      </c>
      <c r="C109" s="155" t="s">
        <v>10</v>
      </c>
      <c r="D109" s="195">
        <v>110</v>
      </c>
      <c r="E109" s="192">
        <v>42</v>
      </c>
      <c r="F109" s="192">
        <v>4</v>
      </c>
      <c r="G109" s="195">
        <v>86</v>
      </c>
      <c r="H109" s="192">
        <v>42</v>
      </c>
      <c r="I109" s="192">
        <v>3</v>
      </c>
      <c r="J109" s="195">
        <v>113</v>
      </c>
      <c r="K109" s="192">
        <v>49</v>
      </c>
      <c r="L109" s="192">
        <v>4</v>
      </c>
      <c r="M109" s="195">
        <v>122</v>
      </c>
      <c r="N109" s="157">
        <v>58</v>
      </c>
      <c r="O109" s="157">
        <v>4</v>
      </c>
      <c r="P109" s="195">
        <v>85</v>
      </c>
      <c r="Q109" s="192">
        <v>37</v>
      </c>
      <c r="R109" s="192">
        <v>3</v>
      </c>
      <c r="S109" s="195">
        <v>90</v>
      </c>
      <c r="T109" s="192">
        <v>42</v>
      </c>
      <c r="U109" s="192">
        <v>3</v>
      </c>
      <c r="V109" s="195">
        <f>D109+G109+J109+M109+P109+S109</f>
        <v>606</v>
      </c>
      <c r="W109" s="192">
        <f>E109+H109+K109+N109+Q109+T109</f>
        <v>270</v>
      </c>
      <c r="X109" s="195">
        <v>29</v>
      </c>
      <c r="Y109" s="192">
        <v>13</v>
      </c>
      <c r="Z109" s="192">
        <f>F109+I109+L109+O109+R109+U109</f>
        <v>21</v>
      </c>
      <c r="AB109" s="190"/>
    </row>
    <row r="110" spans="1:28" s="166" customFormat="1" ht="15.6" x14ac:dyDescent="0.25">
      <c r="A110" s="192">
        <v>2</v>
      </c>
      <c r="B110" s="164" t="s">
        <v>109</v>
      </c>
      <c r="C110" s="155" t="s">
        <v>110</v>
      </c>
      <c r="D110" s="195">
        <v>64</v>
      </c>
      <c r="E110" s="192">
        <v>22</v>
      </c>
      <c r="F110" s="192">
        <v>3</v>
      </c>
      <c r="G110" s="195">
        <v>71</v>
      </c>
      <c r="H110" s="192">
        <v>26</v>
      </c>
      <c r="I110" s="192">
        <v>3</v>
      </c>
      <c r="J110" s="195">
        <v>59</v>
      </c>
      <c r="K110" s="192">
        <v>29</v>
      </c>
      <c r="L110" s="192">
        <v>3</v>
      </c>
      <c r="M110" s="195">
        <v>86</v>
      </c>
      <c r="N110" s="167">
        <v>25</v>
      </c>
      <c r="O110" s="157">
        <v>3</v>
      </c>
      <c r="P110" s="195">
        <v>88</v>
      </c>
      <c r="Q110" s="192">
        <v>31</v>
      </c>
      <c r="R110" s="192">
        <v>3</v>
      </c>
      <c r="S110" s="195">
        <v>81</v>
      </c>
      <c r="T110" s="192">
        <v>30</v>
      </c>
      <c r="U110" s="192">
        <v>4</v>
      </c>
      <c r="V110" s="195">
        <f>D110+G110+J110+M110+P110+S110</f>
        <v>449</v>
      </c>
      <c r="W110" s="192">
        <f>E110+H110+K110+N110+Q110+T110</f>
        <v>163</v>
      </c>
      <c r="X110" s="195">
        <v>120</v>
      </c>
      <c r="Y110" s="192">
        <v>46</v>
      </c>
      <c r="Z110" s="192">
        <f>F110+I110+L110+O110+R110+U110</f>
        <v>19</v>
      </c>
      <c r="AB110" s="190"/>
    </row>
    <row r="111" spans="1:28" s="166" customFormat="1" ht="17.399999999999999" x14ac:dyDescent="0.25">
      <c r="A111" s="192">
        <v>3</v>
      </c>
      <c r="B111" s="164" t="s">
        <v>109</v>
      </c>
      <c r="C111" s="155" t="s">
        <v>105</v>
      </c>
      <c r="D111" s="258"/>
      <c r="E111" s="259"/>
      <c r="F111" s="259"/>
      <c r="G111" s="259"/>
      <c r="H111" s="259"/>
      <c r="I111" s="259"/>
      <c r="J111" s="259"/>
      <c r="K111" s="259"/>
      <c r="L111" s="259"/>
      <c r="M111" s="259"/>
      <c r="N111" s="259"/>
      <c r="O111" s="260"/>
      <c r="P111" s="195">
        <v>22</v>
      </c>
      <c r="Q111" s="192">
        <v>13</v>
      </c>
      <c r="R111" s="192">
        <v>1</v>
      </c>
      <c r="S111" s="195">
        <v>47</v>
      </c>
      <c r="T111" s="192">
        <v>18</v>
      </c>
      <c r="U111" s="192">
        <v>2</v>
      </c>
      <c r="V111" s="195">
        <f>P111+S111</f>
        <v>69</v>
      </c>
      <c r="W111" s="192">
        <f>Q111+T111</f>
        <v>31</v>
      </c>
      <c r="X111" s="195">
        <v>15</v>
      </c>
      <c r="Y111" s="169">
        <v>7</v>
      </c>
      <c r="Z111" s="192">
        <f>F111+I111+L111+O111+R111+U111</f>
        <v>3</v>
      </c>
      <c r="AB111" s="190"/>
    </row>
    <row r="112" spans="1:28" s="166" customFormat="1" ht="45" x14ac:dyDescent="0.25">
      <c r="A112" s="192">
        <v>4</v>
      </c>
      <c r="B112" s="164" t="s">
        <v>109</v>
      </c>
      <c r="C112" s="191" t="s">
        <v>112</v>
      </c>
      <c r="D112" s="195">
        <v>55</v>
      </c>
      <c r="E112" s="192">
        <v>23</v>
      </c>
      <c r="F112" s="192">
        <v>2</v>
      </c>
      <c r="G112" s="195">
        <v>82</v>
      </c>
      <c r="H112" s="192">
        <v>41</v>
      </c>
      <c r="I112" s="192">
        <v>3</v>
      </c>
      <c r="J112" s="195">
        <v>81</v>
      </c>
      <c r="K112" s="192">
        <v>38</v>
      </c>
      <c r="L112" s="192">
        <v>3</v>
      </c>
      <c r="M112" s="195">
        <v>86</v>
      </c>
      <c r="N112" s="156">
        <v>41</v>
      </c>
      <c r="O112" s="157">
        <v>3</v>
      </c>
      <c r="P112" s="195">
        <v>58</v>
      </c>
      <c r="Q112" s="192">
        <v>30</v>
      </c>
      <c r="R112" s="192">
        <v>2</v>
      </c>
      <c r="S112" s="195">
        <v>66</v>
      </c>
      <c r="T112" s="192">
        <v>37</v>
      </c>
      <c r="U112" s="192">
        <v>3</v>
      </c>
      <c r="V112" s="195">
        <f>D112+G112+J112+M112+P112+S112</f>
        <v>428</v>
      </c>
      <c r="W112" s="192">
        <f>E112+H112+K112+N112+Q112+T112</f>
        <v>210</v>
      </c>
      <c r="X112" s="195">
        <v>106</v>
      </c>
      <c r="Y112" s="192">
        <v>54</v>
      </c>
      <c r="Z112" s="192">
        <f>F112+I112+L112+O112+R112+U112</f>
        <v>16</v>
      </c>
      <c r="AB112" s="190"/>
    </row>
    <row r="113" spans="1:28" s="166" customFormat="1" ht="30" x14ac:dyDescent="0.25">
      <c r="A113" s="192">
        <v>5</v>
      </c>
      <c r="B113" s="164" t="s">
        <v>109</v>
      </c>
      <c r="C113" s="155" t="s">
        <v>13</v>
      </c>
      <c r="D113" s="195">
        <v>87</v>
      </c>
      <c r="E113" s="192">
        <v>42</v>
      </c>
      <c r="F113" s="192">
        <v>3</v>
      </c>
      <c r="G113" s="195">
        <v>102</v>
      </c>
      <c r="H113" s="192">
        <v>56</v>
      </c>
      <c r="I113" s="192">
        <v>4</v>
      </c>
      <c r="J113" s="195">
        <v>104</v>
      </c>
      <c r="K113" s="192">
        <v>46</v>
      </c>
      <c r="L113" s="192">
        <v>4</v>
      </c>
      <c r="M113" s="195">
        <v>80</v>
      </c>
      <c r="N113" s="167">
        <v>43</v>
      </c>
      <c r="O113" s="157">
        <v>3</v>
      </c>
      <c r="P113" s="195">
        <v>104</v>
      </c>
      <c r="Q113" s="192">
        <v>47</v>
      </c>
      <c r="R113" s="192">
        <v>4</v>
      </c>
      <c r="S113" s="195">
        <v>81</v>
      </c>
      <c r="T113" s="192">
        <v>36</v>
      </c>
      <c r="U113" s="192">
        <v>4</v>
      </c>
      <c r="V113" s="195">
        <f>D113+G113+J113+M113+P113+S113</f>
        <v>558</v>
      </c>
      <c r="W113" s="192">
        <f>E113+H113+K113+N113+Q113+T113</f>
        <v>270</v>
      </c>
      <c r="X113" s="195">
        <v>62</v>
      </c>
      <c r="Y113" s="192">
        <v>26</v>
      </c>
      <c r="Z113" s="192">
        <f>F113+I113+L113+O113+R113+U113</f>
        <v>22</v>
      </c>
      <c r="AB113" s="190"/>
    </row>
    <row r="114" spans="1:28" s="166" customFormat="1" ht="15.6" x14ac:dyDescent="0.25">
      <c r="A114" s="192">
        <v>6</v>
      </c>
      <c r="B114" s="164" t="s">
        <v>109</v>
      </c>
      <c r="C114" s="155" t="s">
        <v>14</v>
      </c>
      <c r="D114" s="195">
        <v>106</v>
      </c>
      <c r="E114" s="192">
        <v>52</v>
      </c>
      <c r="F114" s="192">
        <v>4</v>
      </c>
      <c r="G114" s="195">
        <v>85</v>
      </c>
      <c r="H114" s="192">
        <v>42</v>
      </c>
      <c r="I114" s="192">
        <v>3</v>
      </c>
      <c r="J114" s="195">
        <v>108</v>
      </c>
      <c r="K114" s="192">
        <v>50</v>
      </c>
      <c r="L114" s="192">
        <v>4</v>
      </c>
      <c r="M114" s="195">
        <v>119</v>
      </c>
      <c r="N114" s="156">
        <v>68</v>
      </c>
      <c r="O114" s="168">
        <v>4</v>
      </c>
      <c r="P114" s="195">
        <v>117</v>
      </c>
      <c r="Q114" s="192">
        <v>54</v>
      </c>
      <c r="R114" s="192">
        <v>4</v>
      </c>
      <c r="S114" s="195">
        <v>102</v>
      </c>
      <c r="T114" s="192">
        <v>53</v>
      </c>
      <c r="U114" s="192">
        <v>4</v>
      </c>
      <c r="V114" s="195">
        <f>D114+G114+J114+M114+P114+S114</f>
        <v>637</v>
      </c>
      <c r="W114" s="192">
        <f>E114+H114+K114+N114+Q114+T114</f>
        <v>319</v>
      </c>
      <c r="X114" s="195">
        <v>66</v>
      </c>
      <c r="Y114" s="169">
        <v>37</v>
      </c>
      <c r="Z114" s="192">
        <f>F114+I114+L114+O114+R114+U114</f>
        <v>23</v>
      </c>
      <c r="AB114" s="190"/>
    </row>
    <row r="115" spans="1:28" s="166" customFormat="1" ht="15.6" x14ac:dyDescent="0.25">
      <c r="A115" s="192">
        <v>7</v>
      </c>
      <c r="B115" s="164" t="s">
        <v>109</v>
      </c>
      <c r="C115" s="155" t="s">
        <v>17</v>
      </c>
      <c r="D115" s="195">
        <v>74</v>
      </c>
      <c r="E115" s="192">
        <v>40</v>
      </c>
      <c r="F115" s="192">
        <v>3</v>
      </c>
      <c r="G115" s="195">
        <v>85</v>
      </c>
      <c r="H115" s="192">
        <v>39</v>
      </c>
      <c r="I115" s="192">
        <v>3</v>
      </c>
      <c r="J115" s="185">
        <v>98</v>
      </c>
      <c r="K115" s="157">
        <v>42</v>
      </c>
      <c r="L115" s="192">
        <v>4</v>
      </c>
      <c r="M115" s="195">
        <v>110</v>
      </c>
      <c r="N115" s="167">
        <v>53</v>
      </c>
      <c r="O115" s="157">
        <v>4</v>
      </c>
      <c r="P115" s="195">
        <v>90</v>
      </c>
      <c r="Q115" s="192">
        <v>51</v>
      </c>
      <c r="R115" s="192">
        <v>3</v>
      </c>
      <c r="S115" s="195">
        <v>86</v>
      </c>
      <c r="T115" s="192">
        <v>45</v>
      </c>
      <c r="U115" s="192">
        <v>3</v>
      </c>
      <c r="V115" s="195">
        <f>D115+G115+J115+M115+P115+S115</f>
        <v>543</v>
      </c>
      <c r="W115" s="192">
        <f>E115+H115+K115+N115+Q115+T115</f>
        <v>270</v>
      </c>
      <c r="X115" s="195">
        <v>53</v>
      </c>
      <c r="Y115" s="192">
        <v>24</v>
      </c>
      <c r="Z115" s="192">
        <f>F115+I115+L115+O115+R115+U115</f>
        <v>20</v>
      </c>
      <c r="AB115" s="190"/>
    </row>
    <row r="116" spans="1:28" s="166" customFormat="1" ht="15.6" x14ac:dyDescent="0.25">
      <c r="A116" s="195"/>
      <c r="B116" s="186" t="s">
        <v>109</v>
      </c>
      <c r="C116" s="187" t="s">
        <v>33</v>
      </c>
      <c r="D116" s="195">
        <f t="shared" ref="D116:Z116" si="8">SUM(D109:D115)</f>
        <v>496</v>
      </c>
      <c r="E116" s="195">
        <f t="shared" si="8"/>
        <v>221</v>
      </c>
      <c r="F116" s="195">
        <f t="shared" si="8"/>
        <v>19</v>
      </c>
      <c r="G116" s="195">
        <f t="shared" si="8"/>
        <v>511</v>
      </c>
      <c r="H116" s="195">
        <f t="shared" si="8"/>
        <v>246</v>
      </c>
      <c r="I116" s="195">
        <f t="shared" si="8"/>
        <v>19</v>
      </c>
      <c r="J116" s="195">
        <f t="shared" si="8"/>
        <v>563</v>
      </c>
      <c r="K116" s="195">
        <f t="shared" si="8"/>
        <v>254</v>
      </c>
      <c r="L116" s="195">
        <f t="shared" si="8"/>
        <v>22</v>
      </c>
      <c r="M116" s="195">
        <f t="shared" si="8"/>
        <v>603</v>
      </c>
      <c r="N116" s="195">
        <f t="shared" si="8"/>
        <v>288</v>
      </c>
      <c r="O116" s="188">
        <f t="shared" si="8"/>
        <v>21</v>
      </c>
      <c r="P116" s="195">
        <f t="shared" si="8"/>
        <v>564</v>
      </c>
      <c r="Q116" s="195">
        <f t="shared" si="8"/>
        <v>263</v>
      </c>
      <c r="R116" s="195">
        <f t="shared" si="8"/>
        <v>20</v>
      </c>
      <c r="S116" s="195">
        <f t="shared" si="8"/>
        <v>553</v>
      </c>
      <c r="T116" s="195">
        <f t="shared" si="8"/>
        <v>261</v>
      </c>
      <c r="U116" s="195">
        <f t="shared" si="8"/>
        <v>23</v>
      </c>
      <c r="V116" s="189">
        <f t="shared" si="8"/>
        <v>3290</v>
      </c>
      <c r="W116" s="189">
        <f t="shared" si="8"/>
        <v>1533</v>
      </c>
      <c r="X116" s="195">
        <f t="shared" si="8"/>
        <v>451</v>
      </c>
      <c r="Y116" s="195">
        <f t="shared" si="8"/>
        <v>207</v>
      </c>
      <c r="Z116" s="195">
        <f t="shared" si="8"/>
        <v>124</v>
      </c>
      <c r="AB116" s="190"/>
    </row>
    <row r="117" spans="1:28" s="166" customFormat="1" ht="15.6" x14ac:dyDescent="0.25">
      <c r="A117" s="181" t="s">
        <v>89</v>
      </c>
      <c r="AB117" s="190"/>
    </row>
    <row r="118" spans="1:28" ht="15.6" x14ac:dyDescent="0.25">
      <c r="A118" s="192">
        <v>1</v>
      </c>
      <c r="B118" s="164" t="s">
        <v>111</v>
      </c>
      <c r="C118" s="155" t="s">
        <v>10</v>
      </c>
      <c r="D118" s="195">
        <v>85</v>
      </c>
      <c r="E118" s="192">
        <v>38</v>
      </c>
      <c r="F118" s="192">
        <v>3</v>
      </c>
      <c r="G118" s="195">
        <v>108</v>
      </c>
      <c r="H118" s="192">
        <v>40</v>
      </c>
      <c r="I118" s="192">
        <v>4</v>
      </c>
      <c r="J118" s="195">
        <v>88</v>
      </c>
      <c r="K118" s="192">
        <v>44</v>
      </c>
      <c r="L118" s="192">
        <v>3</v>
      </c>
      <c r="M118" s="195">
        <v>114</v>
      </c>
      <c r="N118" s="157">
        <v>47</v>
      </c>
      <c r="O118" s="157">
        <v>4</v>
      </c>
      <c r="P118" s="195">
        <v>117</v>
      </c>
      <c r="Q118" s="192">
        <v>58</v>
      </c>
      <c r="R118" s="192">
        <v>4</v>
      </c>
      <c r="S118" s="195">
        <v>84</v>
      </c>
      <c r="T118" s="192">
        <v>38</v>
      </c>
      <c r="U118" s="192">
        <v>3</v>
      </c>
      <c r="V118" s="195">
        <f>D118+G118+J118+M118+P118+S118</f>
        <v>596</v>
      </c>
      <c r="W118" s="192">
        <f>E118+H118+K118+N118+Q118+T118</f>
        <v>265</v>
      </c>
      <c r="X118" s="195">
        <v>38</v>
      </c>
      <c r="Y118" s="192">
        <v>18</v>
      </c>
      <c r="Z118" s="192">
        <f>F118+I118+L118+O118+R118+U118</f>
        <v>21</v>
      </c>
      <c r="AB118" s="190"/>
    </row>
    <row r="119" spans="1:28" ht="15.6" x14ac:dyDescent="0.25">
      <c r="A119" s="192">
        <v>2</v>
      </c>
      <c r="B119" s="164" t="s">
        <v>111</v>
      </c>
      <c r="C119" s="155" t="s">
        <v>110</v>
      </c>
      <c r="D119" s="195">
        <v>91</v>
      </c>
      <c r="E119" s="192">
        <v>38</v>
      </c>
      <c r="F119" s="192">
        <v>4</v>
      </c>
      <c r="G119" s="195">
        <v>70</v>
      </c>
      <c r="H119" s="192">
        <v>24</v>
      </c>
      <c r="I119" s="192">
        <v>3</v>
      </c>
      <c r="J119" s="195">
        <v>83</v>
      </c>
      <c r="K119" s="192">
        <v>35</v>
      </c>
      <c r="L119" s="192">
        <v>3</v>
      </c>
      <c r="M119" s="195">
        <v>74</v>
      </c>
      <c r="N119" s="167">
        <v>32</v>
      </c>
      <c r="O119" s="157">
        <v>3</v>
      </c>
      <c r="P119" s="195">
        <v>74</v>
      </c>
      <c r="Q119" s="192">
        <v>28</v>
      </c>
      <c r="R119" s="192">
        <v>3</v>
      </c>
      <c r="S119" s="195">
        <v>84</v>
      </c>
      <c r="T119" s="192">
        <v>32</v>
      </c>
      <c r="U119" s="192">
        <v>4</v>
      </c>
      <c r="V119" s="195">
        <f>D119+G119+J119+M119+P119+S119</f>
        <v>476</v>
      </c>
      <c r="W119" s="192">
        <f>E119+H119+K119+N119+Q119+T119</f>
        <v>189</v>
      </c>
      <c r="X119" s="195">
        <v>143</v>
      </c>
      <c r="Y119" s="192">
        <v>57</v>
      </c>
      <c r="Z119" s="192">
        <f>F119+I119+L119+O119+R119+U119</f>
        <v>20</v>
      </c>
      <c r="AB119" s="190"/>
    </row>
    <row r="120" spans="1:28" ht="43.2" x14ac:dyDescent="0.25">
      <c r="A120" s="192">
        <v>3</v>
      </c>
      <c r="B120" s="164" t="s">
        <v>111</v>
      </c>
      <c r="C120" s="155" t="s">
        <v>93</v>
      </c>
      <c r="D120" s="195">
        <v>82</v>
      </c>
      <c r="E120" s="192">
        <v>46</v>
      </c>
      <c r="F120" s="192">
        <v>3</v>
      </c>
      <c r="G120" s="195">
        <v>56</v>
      </c>
      <c r="H120" s="192">
        <v>24</v>
      </c>
      <c r="I120" s="192">
        <v>2</v>
      </c>
      <c r="J120" s="195">
        <v>84</v>
      </c>
      <c r="K120" s="192">
        <v>41</v>
      </c>
      <c r="L120" s="192">
        <v>3</v>
      </c>
      <c r="M120" s="195">
        <v>81</v>
      </c>
      <c r="N120" s="156">
        <v>38</v>
      </c>
      <c r="O120" s="157">
        <v>3</v>
      </c>
      <c r="P120" s="195">
        <v>85</v>
      </c>
      <c r="Q120" s="192">
        <v>45</v>
      </c>
      <c r="R120" s="192">
        <v>3</v>
      </c>
      <c r="S120" s="195">
        <v>51</v>
      </c>
      <c r="T120" s="192">
        <v>25</v>
      </c>
      <c r="U120" s="192">
        <v>2</v>
      </c>
      <c r="V120" s="195">
        <f>D120+G120+J120+M120+P120+S120</f>
        <v>439</v>
      </c>
      <c r="W120" s="192">
        <f>E120+H120+K120+N120+Q120+T120</f>
        <v>219</v>
      </c>
      <c r="X120" s="195">
        <v>115</v>
      </c>
      <c r="Y120" s="192">
        <v>65</v>
      </c>
      <c r="Z120" s="192">
        <f>F120+I120+L120+O120+R120+U120</f>
        <v>16</v>
      </c>
      <c r="AB120" s="190"/>
    </row>
    <row r="121" spans="1:28" ht="30" x14ac:dyDescent="0.25">
      <c r="A121" s="192">
        <v>4</v>
      </c>
      <c r="B121" s="164" t="s">
        <v>111</v>
      </c>
      <c r="C121" s="155" t="s">
        <v>13</v>
      </c>
      <c r="D121" s="195">
        <v>103</v>
      </c>
      <c r="E121" s="192">
        <v>40</v>
      </c>
      <c r="F121" s="192">
        <v>4</v>
      </c>
      <c r="G121" s="195">
        <v>86</v>
      </c>
      <c r="H121" s="192">
        <v>40</v>
      </c>
      <c r="I121" s="192">
        <v>3</v>
      </c>
      <c r="J121" s="195">
        <v>88</v>
      </c>
      <c r="K121" s="192">
        <v>44</v>
      </c>
      <c r="L121" s="192">
        <v>4</v>
      </c>
      <c r="M121" s="195">
        <v>101</v>
      </c>
      <c r="N121" s="167">
        <v>42</v>
      </c>
      <c r="O121" s="157">
        <v>4</v>
      </c>
      <c r="P121" s="195">
        <v>82</v>
      </c>
      <c r="Q121" s="192">
        <v>38</v>
      </c>
      <c r="R121" s="192">
        <v>3</v>
      </c>
      <c r="S121" s="195">
        <v>95</v>
      </c>
      <c r="T121" s="192">
        <v>44</v>
      </c>
      <c r="U121" s="192">
        <v>4</v>
      </c>
      <c r="V121" s="195">
        <f>D121+G121+J121+M121+P121+S121</f>
        <v>555</v>
      </c>
      <c r="W121" s="192">
        <f>E121+H121+K121+N121+Q121+T121</f>
        <v>248</v>
      </c>
      <c r="X121" s="195">
        <v>70</v>
      </c>
      <c r="Y121" s="192">
        <v>27</v>
      </c>
      <c r="Z121" s="192">
        <f>F121+I121+L121+O121+R121+U121</f>
        <v>22</v>
      </c>
      <c r="AB121" s="190"/>
    </row>
    <row r="122" spans="1:28" ht="15.6" x14ac:dyDescent="0.25">
      <c r="A122" s="192">
        <v>5</v>
      </c>
      <c r="B122" s="164" t="s">
        <v>111</v>
      </c>
      <c r="C122" s="155" t="s">
        <v>14</v>
      </c>
      <c r="D122" s="195">
        <v>106</v>
      </c>
      <c r="E122" s="192">
        <v>51</v>
      </c>
      <c r="F122" s="192">
        <v>4</v>
      </c>
      <c r="G122" s="195">
        <v>108</v>
      </c>
      <c r="H122" s="192">
        <v>51</v>
      </c>
      <c r="I122" s="192">
        <v>4</v>
      </c>
      <c r="J122" s="195">
        <v>82</v>
      </c>
      <c r="K122" s="192">
        <v>37</v>
      </c>
      <c r="L122" s="192">
        <v>3</v>
      </c>
      <c r="M122" s="195">
        <v>113</v>
      </c>
      <c r="N122" s="156">
        <v>53</v>
      </c>
      <c r="O122" s="168">
        <v>4</v>
      </c>
      <c r="P122" s="195">
        <v>110</v>
      </c>
      <c r="Q122" s="192">
        <v>66</v>
      </c>
      <c r="R122" s="192">
        <v>4</v>
      </c>
      <c r="S122" s="195">
        <v>109</v>
      </c>
      <c r="T122" s="192">
        <v>48</v>
      </c>
      <c r="U122" s="192">
        <v>4</v>
      </c>
      <c r="V122" s="195">
        <f>D122+G122+J122+M122+P122+S122</f>
        <v>628</v>
      </c>
      <c r="W122" s="192">
        <f>E122+H122+K122+N122+Q122+T122</f>
        <v>306</v>
      </c>
      <c r="X122" s="195">
        <v>75</v>
      </c>
      <c r="Y122" s="169">
        <v>42</v>
      </c>
      <c r="Z122" s="192">
        <f>F122+I122+L122+O122+R122+U122</f>
        <v>23</v>
      </c>
      <c r="AB122" s="190"/>
    </row>
    <row r="123" spans="1:28" ht="15.6" x14ac:dyDescent="0.25">
      <c r="A123" s="192">
        <v>6</v>
      </c>
      <c r="B123" s="164" t="s">
        <v>111</v>
      </c>
      <c r="C123" s="155" t="s">
        <v>17</v>
      </c>
      <c r="D123" s="195">
        <v>88</v>
      </c>
      <c r="E123" s="192">
        <v>48</v>
      </c>
      <c r="F123" s="192">
        <v>3</v>
      </c>
      <c r="G123" s="195">
        <v>75</v>
      </c>
      <c r="H123" s="192">
        <v>38</v>
      </c>
      <c r="I123" s="192">
        <v>3</v>
      </c>
      <c r="J123" s="185">
        <v>79</v>
      </c>
      <c r="K123" s="157">
        <v>40</v>
      </c>
      <c r="L123" s="192">
        <v>3</v>
      </c>
      <c r="M123" s="195">
        <v>100</v>
      </c>
      <c r="N123" s="167">
        <v>44</v>
      </c>
      <c r="O123" s="157">
        <v>4</v>
      </c>
      <c r="P123" s="195">
        <v>109</v>
      </c>
      <c r="Q123" s="192">
        <v>55</v>
      </c>
      <c r="R123" s="192">
        <v>4</v>
      </c>
      <c r="S123" s="195">
        <v>83</v>
      </c>
      <c r="T123" s="192">
        <v>48</v>
      </c>
      <c r="U123" s="192">
        <v>3</v>
      </c>
      <c r="V123" s="195">
        <f>D123+G123+J123+M123+P123+S123</f>
        <v>534</v>
      </c>
      <c r="W123" s="192">
        <f>E123+H123+K123+N123+Q123+T123</f>
        <v>273</v>
      </c>
      <c r="X123" s="195">
        <v>57</v>
      </c>
      <c r="Y123" s="192">
        <v>30</v>
      </c>
      <c r="Z123" s="192">
        <f>F123+I123+L123+O123+R123+U123</f>
        <v>20</v>
      </c>
      <c r="AB123" s="190"/>
    </row>
    <row r="124" spans="1:28" ht="15.6" x14ac:dyDescent="0.25">
      <c r="A124" s="195"/>
      <c r="B124" s="186" t="s">
        <v>111</v>
      </c>
      <c r="C124" s="187" t="s">
        <v>33</v>
      </c>
      <c r="D124" s="195">
        <f t="shared" ref="D124:Z124" si="9">SUM(D118:D123)</f>
        <v>555</v>
      </c>
      <c r="E124" s="195">
        <f t="shared" si="9"/>
        <v>261</v>
      </c>
      <c r="F124" s="195">
        <f t="shared" si="9"/>
        <v>21</v>
      </c>
      <c r="G124" s="195">
        <f t="shared" si="9"/>
        <v>503</v>
      </c>
      <c r="H124" s="195">
        <f t="shared" si="9"/>
        <v>217</v>
      </c>
      <c r="I124" s="195">
        <f t="shared" si="9"/>
        <v>19</v>
      </c>
      <c r="J124" s="195">
        <f t="shared" si="9"/>
        <v>504</v>
      </c>
      <c r="K124" s="195">
        <f t="shared" si="9"/>
        <v>241</v>
      </c>
      <c r="L124" s="195">
        <f t="shared" si="9"/>
        <v>19</v>
      </c>
      <c r="M124" s="195">
        <f t="shared" si="9"/>
        <v>583</v>
      </c>
      <c r="N124" s="195">
        <f t="shared" si="9"/>
        <v>256</v>
      </c>
      <c r="O124" s="188">
        <f t="shared" si="9"/>
        <v>22</v>
      </c>
      <c r="P124" s="195">
        <f t="shared" si="9"/>
        <v>577</v>
      </c>
      <c r="Q124" s="195">
        <f t="shared" si="9"/>
        <v>290</v>
      </c>
      <c r="R124" s="195">
        <f t="shared" si="9"/>
        <v>21</v>
      </c>
      <c r="S124" s="195">
        <f t="shared" si="9"/>
        <v>506</v>
      </c>
      <c r="T124" s="195">
        <f t="shared" si="9"/>
        <v>235</v>
      </c>
      <c r="U124" s="195">
        <f t="shared" si="9"/>
        <v>20</v>
      </c>
      <c r="V124" s="189">
        <f t="shared" si="9"/>
        <v>3228</v>
      </c>
      <c r="W124" s="189">
        <f t="shared" si="9"/>
        <v>1500</v>
      </c>
      <c r="X124" s="195">
        <f t="shared" si="9"/>
        <v>498</v>
      </c>
      <c r="Y124" s="195">
        <f t="shared" si="9"/>
        <v>239</v>
      </c>
      <c r="Z124" s="195">
        <f t="shared" si="9"/>
        <v>122</v>
      </c>
    </row>
    <row r="125" spans="1:28" ht="15.6" x14ac:dyDescent="0.25">
      <c r="A125" s="192">
        <v>1</v>
      </c>
      <c r="B125" s="164" t="s">
        <v>113</v>
      </c>
      <c r="C125" s="155" t="s">
        <v>10</v>
      </c>
      <c r="D125" s="195">
        <v>86</v>
      </c>
      <c r="E125" s="192">
        <v>43</v>
      </c>
      <c r="F125" s="192">
        <v>3</v>
      </c>
      <c r="G125" s="195">
        <v>85</v>
      </c>
      <c r="H125" s="192">
        <v>37</v>
      </c>
      <c r="I125" s="192">
        <v>3</v>
      </c>
      <c r="J125" s="195">
        <v>109</v>
      </c>
      <c r="K125" s="192">
        <v>42</v>
      </c>
      <c r="L125" s="192">
        <v>4</v>
      </c>
      <c r="M125" s="195">
        <v>91</v>
      </c>
      <c r="N125" s="157">
        <v>47</v>
      </c>
      <c r="O125" s="157">
        <v>3</v>
      </c>
      <c r="P125" s="195">
        <v>115</v>
      </c>
      <c r="Q125" s="192">
        <v>48</v>
      </c>
      <c r="R125" s="192">
        <v>4</v>
      </c>
      <c r="S125" s="195">
        <v>116</v>
      </c>
      <c r="T125" s="192">
        <v>59</v>
      </c>
      <c r="U125" s="192">
        <v>4</v>
      </c>
      <c r="V125" s="195">
        <f>D125+G125+J125+M125+P125+S125</f>
        <v>602</v>
      </c>
      <c r="W125" s="192">
        <f>E125+H125+K125+N125+Q125+T125</f>
        <v>276</v>
      </c>
      <c r="X125" s="195">
        <v>53</v>
      </c>
      <c r="Y125" s="192">
        <v>26</v>
      </c>
      <c r="Z125" s="192">
        <f>F125+I125+L125+O125+R125+U125</f>
        <v>21</v>
      </c>
    </row>
    <row r="126" spans="1:28" ht="15.6" x14ac:dyDescent="0.25">
      <c r="A126" s="192">
        <v>2</v>
      </c>
      <c r="B126" s="164" t="s">
        <v>113</v>
      </c>
      <c r="C126" s="155" t="s">
        <v>110</v>
      </c>
      <c r="D126" s="195">
        <v>74</v>
      </c>
      <c r="E126" s="192">
        <v>32</v>
      </c>
      <c r="F126" s="192">
        <v>3</v>
      </c>
      <c r="G126" s="195">
        <v>84</v>
      </c>
      <c r="H126" s="192">
        <v>36</v>
      </c>
      <c r="I126" s="192">
        <v>4</v>
      </c>
      <c r="J126" s="195">
        <v>72</v>
      </c>
      <c r="K126" s="192">
        <v>29</v>
      </c>
      <c r="L126" s="192">
        <v>3</v>
      </c>
      <c r="M126" s="195">
        <v>86</v>
      </c>
      <c r="N126" s="167">
        <v>33</v>
      </c>
      <c r="O126" s="157">
        <v>3</v>
      </c>
      <c r="P126" s="195">
        <v>69</v>
      </c>
      <c r="Q126" s="192">
        <v>33</v>
      </c>
      <c r="R126" s="192">
        <v>3</v>
      </c>
      <c r="S126" s="195">
        <v>74</v>
      </c>
      <c r="T126" s="192">
        <v>29</v>
      </c>
      <c r="U126" s="192">
        <v>3</v>
      </c>
      <c r="V126" s="195">
        <f>D126+G126+J126+M126+P126+S126</f>
        <v>459</v>
      </c>
      <c r="W126" s="192">
        <f>E126+H126+K126+N126+Q126+T126</f>
        <v>192</v>
      </c>
      <c r="X126" s="195">
        <v>163</v>
      </c>
      <c r="Y126" s="192">
        <v>69</v>
      </c>
      <c r="Z126" s="192">
        <f>F126+I126+L126+O126+R126+U126</f>
        <v>19</v>
      </c>
    </row>
    <row r="127" spans="1:28" ht="43.2" x14ac:dyDescent="0.25">
      <c r="A127" s="192">
        <v>3</v>
      </c>
      <c r="B127" s="164" t="s">
        <v>113</v>
      </c>
      <c r="C127" s="155" t="s">
        <v>93</v>
      </c>
      <c r="D127" s="195">
        <v>79</v>
      </c>
      <c r="E127" s="192">
        <v>35</v>
      </c>
      <c r="F127" s="192">
        <v>3</v>
      </c>
      <c r="G127" s="195">
        <v>81</v>
      </c>
      <c r="H127" s="192">
        <v>47</v>
      </c>
      <c r="I127" s="192">
        <v>3</v>
      </c>
      <c r="J127" s="195">
        <v>68</v>
      </c>
      <c r="K127" s="192">
        <v>29</v>
      </c>
      <c r="L127" s="192">
        <v>3</v>
      </c>
      <c r="M127" s="195">
        <v>86</v>
      </c>
      <c r="N127" s="156">
        <v>42</v>
      </c>
      <c r="O127" s="157">
        <v>3</v>
      </c>
      <c r="P127" s="195">
        <v>91</v>
      </c>
      <c r="Q127" s="192">
        <v>37</v>
      </c>
      <c r="R127" s="192">
        <v>3</v>
      </c>
      <c r="S127" s="195">
        <v>73</v>
      </c>
      <c r="T127" s="192">
        <v>41</v>
      </c>
      <c r="U127" s="192">
        <v>3</v>
      </c>
      <c r="V127" s="195">
        <f>D127+G127+J127+M127+P127+S127</f>
        <v>478</v>
      </c>
      <c r="W127" s="192">
        <f>E127+H127+K127+N127+Q127+T127</f>
        <v>231</v>
      </c>
      <c r="X127" s="195">
        <v>138</v>
      </c>
      <c r="Y127" s="192">
        <v>73</v>
      </c>
      <c r="Z127" s="192">
        <f>F127+I127+L127+O127+R127+U127</f>
        <v>18</v>
      </c>
    </row>
    <row r="128" spans="1:28" ht="30" x14ac:dyDescent="0.25">
      <c r="A128" s="192">
        <v>4</v>
      </c>
      <c r="B128" s="164" t="s">
        <v>113</v>
      </c>
      <c r="C128" s="155" t="s">
        <v>13</v>
      </c>
      <c r="D128" s="195">
        <v>110</v>
      </c>
      <c r="E128" s="192">
        <v>38</v>
      </c>
      <c r="F128" s="192">
        <v>4</v>
      </c>
      <c r="G128" s="195">
        <v>107</v>
      </c>
      <c r="H128" s="192">
        <v>41</v>
      </c>
      <c r="I128" s="192">
        <v>4</v>
      </c>
      <c r="J128" s="195">
        <v>84</v>
      </c>
      <c r="K128" s="192">
        <v>40</v>
      </c>
      <c r="L128" s="192">
        <v>3</v>
      </c>
      <c r="M128" s="195">
        <v>84</v>
      </c>
      <c r="N128" s="167">
        <v>44</v>
      </c>
      <c r="O128" s="157">
        <v>4</v>
      </c>
      <c r="P128" s="195">
        <v>97</v>
      </c>
      <c r="Q128" s="192">
        <v>43</v>
      </c>
      <c r="R128" s="192">
        <v>4</v>
      </c>
      <c r="S128" s="195">
        <v>75</v>
      </c>
      <c r="T128" s="192">
        <v>34</v>
      </c>
      <c r="U128" s="192">
        <v>3</v>
      </c>
      <c r="V128" s="195">
        <f>D128+G128+J128+M128+P128+S128</f>
        <v>557</v>
      </c>
      <c r="W128" s="192">
        <f>E128+H128+K128+N128+Q128+T128</f>
        <v>240</v>
      </c>
      <c r="X128" s="195">
        <v>79</v>
      </c>
      <c r="Y128" s="192">
        <v>30</v>
      </c>
      <c r="Z128" s="192">
        <f>F128+I128+L128+O128+R128+U128</f>
        <v>22</v>
      </c>
    </row>
    <row r="129" spans="1:26" ht="15.6" x14ac:dyDescent="0.25">
      <c r="A129" s="192">
        <v>5</v>
      </c>
      <c r="B129" s="164" t="s">
        <v>113</v>
      </c>
      <c r="C129" s="155" t="s">
        <v>14</v>
      </c>
      <c r="D129" s="195">
        <v>94</v>
      </c>
      <c r="E129" s="192">
        <v>42</v>
      </c>
      <c r="F129" s="192">
        <v>4</v>
      </c>
      <c r="G129" s="195">
        <v>109</v>
      </c>
      <c r="H129" s="192">
        <v>50</v>
      </c>
      <c r="I129" s="192">
        <v>4</v>
      </c>
      <c r="J129" s="195">
        <v>104</v>
      </c>
      <c r="K129" s="192">
        <v>51</v>
      </c>
      <c r="L129" s="192">
        <v>4</v>
      </c>
      <c r="M129" s="195">
        <v>83</v>
      </c>
      <c r="N129" s="156">
        <v>38</v>
      </c>
      <c r="O129" s="168">
        <v>3</v>
      </c>
      <c r="P129" s="195">
        <v>109</v>
      </c>
      <c r="Q129" s="192">
        <v>51</v>
      </c>
      <c r="R129" s="192">
        <v>4</v>
      </c>
      <c r="S129" s="195">
        <v>108</v>
      </c>
      <c r="T129" s="192">
        <v>63</v>
      </c>
      <c r="U129" s="192">
        <v>4</v>
      </c>
      <c r="V129" s="195">
        <f>D129+G129+J129+M129+P129+S129</f>
        <v>607</v>
      </c>
      <c r="W129" s="192">
        <f>E129+H129+K129+N129+Q129+T129</f>
        <v>295</v>
      </c>
      <c r="X129" s="195">
        <v>95</v>
      </c>
      <c r="Y129" s="169">
        <v>48</v>
      </c>
      <c r="Z129" s="192">
        <f>F129+I129+L129+O129+R129+U129</f>
        <v>23</v>
      </c>
    </row>
    <row r="130" spans="1:26" ht="15.6" x14ac:dyDescent="0.25">
      <c r="A130" s="192">
        <v>6</v>
      </c>
      <c r="B130" s="164" t="s">
        <v>113</v>
      </c>
      <c r="C130" s="155" t="s">
        <v>17</v>
      </c>
      <c r="D130" s="195">
        <v>74</v>
      </c>
      <c r="E130" s="192">
        <v>39</v>
      </c>
      <c r="F130" s="192">
        <v>3</v>
      </c>
      <c r="G130" s="195">
        <v>85</v>
      </c>
      <c r="H130" s="192">
        <v>46</v>
      </c>
      <c r="I130" s="192">
        <v>3</v>
      </c>
      <c r="J130" s="185">
        <v>74</v>
      </c>
      <c r="K130" s="157">
        <v>35</v>
      </c>
      <c r="L130" s="192">
        <v>3</v>
      </c>
      <c r="M130" s="195">
        <v>77</v>
      </c>
      <c r="N130" s="167">
        <v>40</v>
      </c>
      <c r="O130" s="157">
        <v>3</v>
      </c>
      <c r="P130" s="195">
        <v>106</v>
      </c>
      <c r="Q130" s="192">
        <v>45</v>
      </c>
      <c r="R130" s="192">
        <v>4</v>
      </c>
      <c r="S130" s="195">
        <v>99</v>
      </c>
      <c r="T130" s="192">
        <v>51</v>
      </c>
      <c r="U130" s="192">
        <v>4</v>
      </c>
      <c r="V130" s="195">
        <f>D130+G130+J130+M130+P130+S130</f>
        <v>515</v>
      </c>
      <c r="W130" s="192">
        <f>E130+H130+K130+N130+Q130+T130</f>
        <v>256</v>
      </c>
      <c r="X130" s="195">
        <v>69</v>
      </c>
      <c r="Y130" s="192">
        <v>36</v>
      </c>
      <c r="Z130" s="192">
        <f>F130+I130+L130+O130+R130+U130</f>
        <v>20</v>
      </c>
    </row>
    <row r="131" spans="1:26" ht="15.6" x14ac:dyDescent="0.25">
      <c r="A131" s="195"/>
      <c r="B131" s="186" t="s">
        <v>113</v>
      </c>
      <c r="C131" s="187" t="s">
        <v>33</v>
      </c>
      <c r="D131" s="195">
        <f t="shared" ref="D131:Z131" si="10">SUM(D125:D130)</f>
        <v>517</v>
      </c>
      <c r="E131" s="195">
        <f t="shared" si="10"/>
        <v>229</v>
      </c>
      <c r="F131" s="195">
        <f t="shared" si="10"/>
        <v>20</v>
      </c>
      <c r="G131" s="195">
        <f t="shared" si="10"/>
        <v>551</v>
      </c>
      <c r="H131" s="195">
        <f t="shared" si="10"/>
        <v>257</v>
      </c>
      <c r="I131" s="195">
        <f t="shared" si="10"/>
        <v>21</v>
      </c>
      <c r="J131" s="195">
        <f t="shared" si="10"/>
        <v>511</v>
      </c>
      <c r="K131" s="195">
        <f t="shared" si="10"/>
        <v>226</v>
      </c>
      <c r="L131" s="195">
        <f t="shared" si="10"/>
        <v>20</v>
      </c>
      <c r="M131" s="195">
        <f t="shared" si="10"/>
        <v>507</v>
      </c>
      <c r="N131" s="195">
        <f t="shared" si="10"/>
        <v>244</v>
      </c>
      <c r="O131" s="188">
        <f t="shared" si="10"/>
        <v>19</v>
      </c>
      <c r="P131" s="195">
        <f t="shared" si="10"/>
        <v>587</v>
      </c>
      <c r="Q131" s="195">
        <f t="shared" si="10"/>
        <v>257</v>
      </c>
      <c r="R131" s="195">
        <f t="shared" si="10"/>
        <v>22</v>
      </c>
      <c r="S131" s="195">
        <f t="shared" si="10"/>
        <v>545</v>
      </c>
      <c r="T131" s="195">
        <f t="shared" si="10"/>
        <v>277</v>
      </c>
      <c r="U131" s="195">
        <f t="shared" si="10"/>
        <v>21</v>
      </c>
      <c r="V131" s="189">
        <f t="shared" si="10"/>
        <v>3218</v>
      </c>
      <c r="W131" s="189">
        <f t="shared" si="10"/>
        <v>1490</v>
      </c>
      <c r="X131" s="195">
        <f t="shared" si="10"/>
        <v>597</v>
      </c>
      <c r="Y131" s="195">
        <f t="shared" si="10"/>
        <v>282</v>
      </c>
      <c r="Z131" s="195">
        <f t="shared" si="10"/>
        <v>123</v>
      </c>
    </row>
    <row r="132" spans="1:26" ht="15.6" x14ac:dyDescent="0.25">
      <c r="A132" s="192">
        <v>1</v>
      </c>
      <c r="B132" s="164" t="s">
        <v>114</v>
      </c>
      <c r="C132" s="155" t="s">
        <v>10</v>
      </c>
      <c r="D132" s="195">
        <v>111</v>
      </c>
      <c r="E132" s="192">
        <v>54</v>
      </c>
      <c r="F132" s="192">
        <v>4</v>
      </c>
      <c r="G132" s="195">
        <v>87</v>
      </c>
      <c r="H132" s="192">
        <v>44</v>
      </c>
      <c r="I132" s="192">
        <v>3</v>
      </c>
      <c r="J132" s="195">
        <v>92</v>
      </c>
      <c r="K132" s="192">
        <v>37</v>
      </c>
      <c r="L132" s="192">
        <v>3</v>
      </c>
      <c r="M132" s="195">
        <v>108</v>
      </c>
      <c r="N132" s="157">
        <v>41</v>
      </c>
      <c r="O132" s="157">
        <v>4</v>
      </c>
      <c r="P132" s="195">
        <v>90</v>
      </c>
      <c r="Q132" s="192">
        <v>49</v>
      </c>
      <c r="R132" s="192">
        <v>3</v>
      </c>
      <c r="S132" s="195">
        <v>113</v>
      </c>
      <c r="T132" s="192">
        <v>50</v>
      </c>
      <c r="U132" s="192">
        <v>4</v>
      </c>
      <c r="V132" s="195">
        <f>D132+G132+J132+M132+P132+S132</f>
        <v>601</v>
      </c>
      <c r="W132" s="192">
        <f>E132+H132+K132+N132+Q132+T132</f>
        <v>275</v>
      </c>
      <c r="X132" s="195">
        <v>65</v>
      </c>
      <c r="Y132" s="192">
        <v>34</v>
      </c>
      <c r="Z132" s="192">
        <f>F132+I132+L132+O132+R132+U132</f>
        <v>21</v>
      </c>
    </row>
    <row r="133" spans="1:26" ht="15.6" x14ac:dyDescent="0.25">
      <c r="A133" s="192">
        <v>2</v>
      </c>
      <c r="B133" s="164" t="s">
        <v>114</v>
      </c>
      <c r="C133" s="155" t="s">
        <v>110</v>
      </c>
      <c r="D133" s="195">
        <v>62</v>
      </c>
      <c r="E133" s="192">
        <v>28</v>
      </c>
      <c r="F133" s="192">
        <v>3</v>
      </c>
      <c r="G133" s="195">
        <v>77</v>
      </c>
      <c r="H133" s="192">
        <v>31</v>
      </c>
      <c r="I133" s="192">
        <v>3</v>
      </c>
      <c r="J133" s="195">
        <v>76</v>
      </c>
      <c r="K133" s="192">
        <v>37</v>
      </c>
      <c r="L133" s="192">
        <v>3</v>
      </c>
      <c r="M133" s="195">
        <v>66</v>
      </c>
      <c r="N133" s="167">
        <v>27</v>
      </c>
      <c r="O133" s="157">
        <v>3</v>
      </c>
      <c r="P133" s="195">
        <v>84</v>
      </c>
      <c r="Q133" s="192">
        <v>31</v>
      </c>
      <c r="R133" s="192">
        <v>3</v>
      </c>
      <c r="S133" s="195">
        <v>57</v>
      </c>
      <c r="T133" s="192">
        <v>29</v>
      </c>
      <c r="U133" s="192">
        <v>3</v>
      </c>
      <c r="V133" s="195">
        <f>D133+G133+J133+M133+P133+S133</f>
        <v>422</v>
      </c>
      <c r="W133" s="192">
        <f>E133+H133+K133+N133+Q133+T133</f>
        <v>183</v>
      </c>
      <c r="X133" s="195">
        <v>149</v>
      </c>
      <c r="Y133" s="192">
        <v>62</v>
      </c>
      <c r="Z133" s="192">
        <f>F133+I133+L133+O133+R133+U133</f>
        <v>18</v>
      </c>
    </row>
    <row r="134" spans="1:26" ht="43.2" x14ac:dyDescent="0.25">
      <c r="A134" s="192">
        <v>3</v>
      </c>
      <c r="B134" s="164" t="s">
        <v>114</v>
      </c>
      <c r="C134" s="155" t="s">
        <v>93</v>
      </c>
      <c r="D134" s="195">
        <v>105</v>
      </c>
      <c r="E134" s="192">
        <v>54</v>
      </c>
      <c r="F134" s="192">
        <v>4</v>
      </c>
      <c r="G134" s="195">
        <v>80</v>
      </c>
      <c r="H134" s="192">
        <v>34</v>
      </c>
      <c r="I134" s="192">
        <v>3</v>
      </c>
      <c r="J134" s="195">
        <v>77</v>
      </c>
      <c r="K134" s="192">
        <v>46</v>
      </c>
      <c r="L134" s="192">
        <v>3</v>
      </c>
      <c r="M134" s="195">
        <v>78</v>
      </c>
      <c r="N134" s="156">
        <v>36</v>
      </c>
      <c r="O134" s="157">
        <v>3</v>
      </c>
      <c r="P134" s="195">
        <v>82</v>
      </c>
      <c r="Q134" s="192">
        <v>40</v>
      </c>
      <c r="R134" s="192">
        <v>3</v>
      </c>
      <c r="S134" s="195">
        <v>67</v>
      </c>
      <c r="T134" s="192">
        <v>27</v>
      </c>
      <c r="U134" s="192">
        <v>3</v>
      </c>
      <c r="V134" s="195">
        <f>D134+G134+J134+M134+P134+S134</f>
        <v>489</v>
      </c>
      <c r="W134" s="192">
        <f>E134+H134+K134+N134+Q134+T134</f>
        <v>237</v>
      </c>
      <c r="X134" s="195">
        <v>139</v>
      </c>
      <c r="Y134" s="192">
        <v>66</v>
      </c>
      <c r="Z134" s="192">
        <f>F134+I134+L134+O134+R134+U134</f>
        <v>19</v>
      </c>
    </row>
    <row r="135" spans="1:26" ht="30" x14ac:dyDescent="0.25">
      <c r="A135" s="192">
        <v>4</v>
      </c>
      <c r="B135" s="164" t="s">
        <v>114</v>
      </c>
      <c r="C135" s="155" t="s">
        <v>13</v>
      </c>
      <c r="D135" s="195">
        <v>95</v>
      </c>
      <c r="E135" s="192">
        <v>46</v>
      </c>
      <c r="F135" s="192">
        <v>4</v>
      </c>
      <c r="G135" s="195">
        <v>112</v>
      </c>
      <c r="H135" s="192">
        <v>41</v>
      </c>
      <c r="I135" s="192">
        <v>4</v>
      </c>
      <c r="J135" s="195">
        <v>96</v>
      </c>
      <c r="K135" s="192">
        <v>36</v>
      </c>
      <c r="L135" s="192">
        <v>4</v>
      </c>
      <c r="M135" s="195">
        <v>86</v>
      </c>
      <c r="N135" s="167">
        <v>40</v>
      </c>
      <c r="O135" s="157">
        <v>3</v>
      </c>
      <c r="P135" s="195">
        <v>83</v>
      </c>
      <c r="Q135" s="192">
        <v>45</v>
      </c>
      <c r="R135" s="192">
        <v>4</v>
      </c>
      <c r="S135" s="195">
        <v>88</v>
      </c>
      <c r="T135" s="192">
        <v>41</v>
      </c>
      <c r="U135" s="192">
        <v>4</v>
      </c>
      <c r="V135" s="195">
        <f>D135+G135+J135+M135+P135+S135</f>
        <v>560</v>
      </c>
      <c r="W135" s="192">
        <f>E135+H135+K135+N135+Q135+T135</f>
        <v>249</v>
      </c>
      <c r="X135" s="195">
        <v>82</v>
      </c>
      <c r="Y135" s="192">
        <v>32</v>
      </c>
      <c r="Z135" s="192">
        <f>F135+I135+L135+O135+R135+U135</f>
        <v>23</v>
      </c>
    </row>
    <row r="136" spans="1:26" ht="15.6" x14ac:dyDescent="0.25">
      <c r="A136" s="192">
        <v>5</v>
      </c>
      <c r="B136" s="164" t="s">
        <v>114</v>
      </c>
      <c r="C136" s="155" t="s">
        <v>14</v>
      </c>
      <c r="D136" s="195">
        <v>86</v>
      </c>
      <c r="E136" s="192">
        <v>36</v>
      </c>
      <c r="F136" s="192">
        <v>3</v>
      </c>
      <c r="G136" s="195">
        <v>103</v>
      </c>
      <c r="H136" s="192">
        <v>49</v>
      </c>
      <c r="I136" s="192">
        <v>4</v>
      </c>
      <c r="J136" s="195">
        <v>111</v>
      </c>
      <c r="K136" s="192">
        <v>46</v>
      </c>
      <c r="L136" s="192">
        <v>4</v>
      </c>
      <c r="M136" s="195">
        <v>99</v>
      </c>
      <c r="N136" s="156">
        <v>51</v>
      </c>
      <c r="O136" s="168">
        <v>4</v>
      </c>
      <c r="P136" s="195">
        <v>87</v>
      </c>
      <c r="Q136" s="192">
        <v>37</v>
      </c>
      <c r="R136" s="192">
        <v>3</v>
      </c>
      <c r="S136" s="195">
        <v>99</v>
      </c>
      <c r="T136" s="192">
        <v>46</v>
      </c>
      <c r="U136" s="192">
        <v>4</v>
      </c>
      <c r="V136" s="195">
        <f>D136+G136+J136+M136+P136+S136</f>
        <v>585</v>
      </c>
      <c r="W136" s="192">
        <f>E136+H136+K136+N136+Q136+T136</f>
        <v>265</v>
      </c>
      <c r="X136" s="195">
        <v>110</v>
      </c>
      <c r="Y136" s="169">
        <v>51</v>
      </c>
      <c r="Z136" s="192">
        <f>F136+I136+L136+O136+R136+U136</f>
        <v>22</v>
      </c>
    </row>
    <row r="137" spans="1:26" ht="15.6" x14ac:dyDescent="0.25">
      <c r="A137" s="192">
        <v>6</v>
      </c>
      <c r="B137" s="164" t="s">
        <v>114</v>
      </c>
      <c r="C137" s="155" t="s">
        <v>17</v>
      </c>
      <c r="D137" s="195">
        <v>68</v>
      </c>
      <c r="E137" s="192">
        <v>34</v>
      </c>
      <c r="F137" s="192">
        <v>3</v>
      </c>
      <c r="G137" s="195">
        <v>72</v>
      </c>
      <c r="H137" s="192">
        <v>36</v>
      </c>
      <c r="I137" s="192">
        <v>3</v>
      </c>
      <c r="J137" s="185">
        <v>78</v>
      </c>
      <c r="K137" s="157">
        <v>42</v>
      </c>
      <c r="L137" s="192">
        <v>3</v>
      </c>
      <c r="M137" s="195">
        <v>81</v>
      </c>
      <c r="N137" s="167">
        <v>37</v>
      </c>
      <c r="O137" s="157">
        <v>3</v>
      </c>
      <c r="P137" s="195">
        <v>77</v>
      </c>
      <c r="Q137" s="192">
        <v>39</v>
      </c>
      <c r="R137" s="192">
        <v>3</v>
      </c>
      <c r="S137" s="195">
        <v>94</v>
      </c>
      <c r="T137" s="192">
        <v>42</v>
      </c>
      <c r="U137" s="192">
        <v>4</v>
      </c>
      <c r="V137" s="195">
        <f>D137+G137+J137+M137+P137+S137</f>
        <v>470</v>
      </c>
      <c r="W137" s="192">
        <f>E137+H137+K137+N137+Q137+T137</f>
        <v>230</v>
      </c>
      <c r="X137" s="195">
        <v>66</v>
      </c>
      <c r="Y137" s="192">
        <v>34</v>
      </c>
      <c r="Z137" s="192">
        <f>F137+I137+L137+O137+R137+U137</f>
        <v>19</v>
      </c>
    </row>
    <row r="138" spans="1:26" ht="15.6" x14ac:dyDescent="0.25">
      <c r="A138" s="195"/>
      <c r="B138" s="186" t="s">
        <v>114</v>
      </c>
      <c r="C138" s="187" t="s">
        <v>33</v>
      </c>
      <c r="D138" s="195">
        <f t="shared" ref="D138:Z138" si="11">SUM(D132:D137)</f>
        <v>527</v>
      </c>
      <c r="E138" s="195">
        <f t="shared" si="11"/>
        <v>252</v>
      </c>
      <c r="F138" s="195">
        <f t="shared" si="11"/>
        <v>21</v>
      </c>
      <c r="G138" s="195">
        <f t="shared" si="11"/>
        <v>531</v>
      </c>
      <c r="H138" s="195">
        <f t="shared" si="11"/>
        <v>235</v>
      </c>
      <c r="I138" s="195">
        <f t="shared" si="11"/>
        <v>20</v>
      </c>
      <c r="J138" s="195">
        <f t="shared" si="11"/>
        <v>530</v>
      </c>
      <c r="K138" s="195">
        <f t="shared" si="11"/>
        <v>244</v>
      </c>
      <c r="L138" s="195">
        <f t="shared" si="11"/>
        <v>20</v>
      </c>
      <c r="M138" s="195">
        <f t="shared" si="11"/>
        <v>518</v>
      </c>
      <c r="N138" s="195">
        <f t="shared" si="11"/>
        <v>232</v>
      </c>
      <c r="O138" s="188">
        <f t="shared" si="11"/>
        <v>20</v>
      </c>
      <c r="P138" s="195">
        <f t="shared" si="11"/>
        <v>503</v>
      </c>
      <c r="Q138" s="195">
        <f t="shared" si="11"/>
        <v>241</v>
      </c>
      <c r="R138" s="195">
        <f t="shared" si="11"/>
        <v>19</v>
      </c>
      <c r="S138" s="195">
        <f t="shared" si="11"/>
        <v>518</v>
      </c>
      <c r="T138" s="195">
        <f t="shared" si="11"/>
        <v>235</v>
      </c>
      <c r="U138" s="195">
        <f t="shared" si="11"/>
        <v>22</v>
      </c>
      <c r="V138" s="189">
        <f t="shared" si="11"/>
        <v>3127</v>
      </c>
      <c r="W138" s="189">
        <f t="shared" si="11"/>
        <v>1439</v>
      </c>
      <c r="X138" s="195">
        <f t="shared" si="11"/>
        <v>611</v>
      </c>
      <c r="Y138" s="195">
        <f t="shared" si="11"/>
        <v>279</v>
      </c>
      <c r="Z138" s="195">
        <f t="shared" si="11"/>
        <v>122</v>
      </c>
    </row>
    <row r="139" spans="1:26" ht="15.6" x14ac:dyDescent="0.25">
      <c r="A139" s="250">
        <v>1</v>
      </c>
      <c r="B139" s="164" t="s">
        <v>115</v>
      </c>
      <c r="C139" s="155" t="s">
        <v>10</v>
      </c>
      <c r="D139" s="251"/>
      <c r="E139" s="250"/>
      <c r="F139" s="250"/>
      <c r="G139" s="251"/>
      <c r="H139" s="250"/>
      <c r="I139" s="250"/>
      <c r="J139" s="251"/>
      <c r="K139" s="250"/>
      <c r="L139" s="250"/>
      <c r="M139" s="251"/>
      <c r="N139" s="157"/>
      <c r="O139" s="157"/>
      <c r="P139" s="251"/>
      <c r="Q139" s="250"/>
      <c r="R139" s="250"/>
      <c r="S139" s="251"/>
      <c r="T139" s="250"/>
      <c r="U139" s="250"/>
      <c r="V139" s="251"/>
      <c r="W139" s="250"/>
      <c r="X139" s="251"/>
      <c r="Y139" s="250"/>
      <c r="Z139" s="250"/>
    </row>
  </sheetData>
  <mergeCells count="41">
    <mergeCell ref="D111:O111"/>
    <mergeCell ref="D102:L102"/>
    <mergeCell ref="D96:R96"/>
    <mergeCell ref="N5:N6"/>
    <mergeCell ref="G4:I4"/>
    <mergeCell ref="J4:L4"/>
    <mergeCell ref="D94:R94"/>
    <mergeCell ref="D85:O85"/>
    <mergeCell ref="D80:F80"/>
    <mergeCell ref="D83:O83"/>
    <mergeCell ref="D91:I91"/>
    <mergeCell ref="D66:L66"/>
    <mergeCell ref="D64:L64"/>
    <mergeCell ref="D4:F4"/>
    <mergeCell ref="M4:O4"/>
    <mergeCell ref="A4:A6"/>
    <mergeCell ref="B4:B6"/>
    <mergeCell ref="C4:C6"/>
    <mergeCell ref="Z4:Z6"/>
    <mergeCell ref="D5:D6"/>
    <mergeCell ref="E5:E6"/>
    <mergeCell ref="F5:F6"/>
    <mergeCell ref="G5:G6"/>
    <mergeCell ref="H5:H6"/>
    <mergeCell ref="I5:I6"/>
    <mergeCell ref="J5:J6"/>
    <mergeCell ref="K5:K6"/>
    <mergeCell ref="P5:P6"/>
    <mergeCell ref="R5:R6"/>
    <mergeCell ref="S5:S6"/>
    <mergeCell ref="M5:M6"/>
    <mergeCell ref="O5:O6"/>
    <mergeCell ref="L5:L6"/>
    <mergeCell ref="V4:Y4"/>
    <mergeCell ref="P4:R4"/>
    <mergeCell ref="T5:T6"/>
    <mergeCell ref="V5:W5"/>
    <mergeCell ref="X5:Y5"/>
    <mergeCell ref="S4:U4"/>
    <mergeCell ref="U5:U6"/>
    <mergeCell ref="Q5:Q6"/>
  </mergeCells>
  <phoneticPr fontId="0" type="noConversion"/>
  <pageMargins left="0.59055118110236227" right="0.15748031496062992" top="0.86614173228346458" bottom="0.31496062992125984" header="0.62992125984251968" footer="0.19685039370078741"/>
  <pageSetup paperSize="9" scale="86" fitToHeight="0" orientation="landscape" horizontalDpi="1200" verticalDpi="1200" r:id="rId1"/>
  <headerFooter alignWithMargins="0">
    <oddHeader>&amp;C&amp;"Arial,Fett"&amp;12 &amp;R&amp;12Amt&amp;"Arial,Fett" für Schule und Weiterbildung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47"/>
  <sheetViews>
    <sheetView topLeftCell="AG1" workbookViewId="0">
      <selection activeCell="BT18" sqref="BT18"/>
    </sheetView>
  </sheetViews>
  <sheetFormatPr baseColWidth="10" defaultColWidth="11.44140625" defaultRowHeight="13.2" x14ac:dyDescent="0.25"/>
  <cols>
    <col min="1" max="1" width="3.6640625" style="1" customWidth="1"/>
    <col min="2" max="2" width="21.33203125" style="2" customWidth="1"/>
    <col min="3" max="3" width="6.6640625" style="1" hidden="1" customWidth="1"/>
    <col min="4" max="4" width="6.5546875" style="1" hidden="1" customWidth="1"/>
    <col min="5" max="5" width="5.5546875" style="1" hidden="1" customWidth="1"/>
    <col min="6" max="6" width="6.5546875" style="1" hidden="1" customWidth="1"/>
    <col min="7" max="7" width="5.5546875" style="1" hidden="1" customWidth="1"/>
    <col min="8" max="8" width="0.109375" style="1" hidden="1" customWidth="1"/>
    <col min="9" max="9" width="6.6640625" style="1" hidden="1" customWidth="1"/>
    <col min="10" max="10" width="5.5546875" style="1" hidden="1" customWidth="1"/>
    <col min="11" max="11" width="6.6640625" style="1" hidden="1" customWidth="1"/>
    <col min="12" max="12" width="5.5546875" style="1" hidden="1" customWidth="1"/>
    <col min="13" max="13" width="6.6640625" style="1" hidden="1" customWidth="1"/>
    <col min="14" max="17" width="6.5546875" style="1" hidden="1" customWidth="1"/>
    <col min="18" max="18" width="6.6640625" style="1" hidden="1" customWidth="1"/>
    <col min="19" max="19" width="6.5546875" style="1" hidden="1" customWidth="1"/>
    <col min="20" max="20" width="5.5546875" style="1" hidden="1" customWidth="1"/>
    <col min="21" max="21" width="6.5546875" style="1" hidden="1" customWidth="1"/>
    <col min="22" max="22" width="5.5546875" style="1" hidden="1" customWidth="1"/>
    <col min="23" max="23" width="6.6640625" style="1" hidden="1" customWidth="1"/>
    <col min="24" max="24" width="6.5546875" style="1" hidden="1" customWidth="1"/>
    <col min="25" max="25" width="5.5546875" style="1" hidden="1" customWidth="1"/>
    <col min="26" max="26" width="6.5546875" style="1" hidden="1" customWidth="1"/>
    <col min="27" max="27" width="5.5546875" style="1" hidden="1" customWidth="1"/>
    <col min="28" max="28" width="6.6640625" style="1" hidden="1" customWidth="1"/>
    <col min="29" max="29" width="6.5546875" style="1" hidden="1" customWidth="1"/>
    <col min="30" max="30" width="5.5546875" style="1" hidden="1" customWidth="1"/>
    <col min="31" max="31" width="6.5546875" style="1" hidden="1" customWidth="1"/>
    <col min="32" max="32" width="5.5546875" style="1" hidden="1" customWidth="1"/>
    <col min="33" max="33" width="6.6640625" style="1" customWidth="1"/>
    <col min="34" max="34" width="6.5546875" style="1" customWidth="1"/>
    <col min="35" max="35" width="5.5546875" style="1" bestFit="1" customWidth="1"/>
    <col min="36" max="36" width="6.5546875" style="1" customWidth="1"/>
    <col min="37" max="37" width="5.5546875" style="1" bestFit="1" customWidth="1"/>
    <col min="38" max="38" width="6.6640625" style="1" customWidth="1"/>
    <col min="39" max="39" width="6.5546875" style="1" customWidth="1"/>
    <col min="40" max="40" width="5.5546875" style="1" bestFit="1" customWidth="1"/>
    <col min="41" max="41" width="6.5546875" style="1" customWidth="1"/>
    <col min="42" max="42" width="5.5546875" style="1" bestFit="1" customWidth="1"/>
    <col min="43" max="43" width="7" style="3" customWidth="1"/>
    <col min="44" max="44" width="7.33203125" style="3" customWidth="1"/>
    <col min="45" max="45" width="6.5546875" style="3" customWidth="1"/>
    <col min="46" max="46" width="6.33203125" style="3" customWidth="1"/>
    <col min="47" max="47" width="5.6640625" style="3" customWidth="1"/>
    <col min="48" max="48" width="7" style="3" customWidth="1"/>
    <col min="49" max="49" width="7.33203125" style="3" customWidth="1"/>
    <col min="50" max="50" width="6.5546875" style="3" customWidth="1"/>
    <col min="51" max="51" width="6.33203125" style="3" customWidth="1"/>
    <col min="52" max="52" width="5.6640625" style="3" customWidth="1"/>
    <col min="53" max="53" width="7.44140625" style="3" customWidth="1"/>
    <col min="54" max="54" width="6.88671875" style="3" customWidth="1"/>
    <col min="55" max="55" width="7.109375" style="3" customWidth="1"/>
    <col min="56" max="56" width="6.6640625" style="3" customWidth="1"/>
    <col min="57" max="57" width="6.88671875" style="3" customWidth="1"/>
    <col min="58" max="58" width="7.6640625" style="3" customWidth="1"/>
    <col min="59" max="59" width="7" style="3" customWidth="1"/>
    <col min="60" max="60" width="6.44140625" style="3" customWidth="1"/>
    <col min="61" max="61" width="7.109375" style="3" customWidth="1"/>
    <col min="62" max="62" width="6.44140625" style="3" customWidth="1"/>
    <col min="63" max="63" width="7.6640625" style="3" customWidth="1"/>
    <col min="64" max="64" width="6.88671875" style="3" customWidth="1"/>
    <col min="65" max="65" width="7.109375" style="3" customWidth="1"/>
    <col min="66" max="72" width="6.6640625" style="3" customWidth="1"/>
    <col min="73" max="16384" width="11.44140625" style="3"/>
  </cols>
  <sheetData>
    <row r="1" spans="1:72" s="4" customFormat="1" x14ac:dyDescent="0.25">
      <c r="A1" s="4" t="s">
        <v>31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</row>
    <row r="2" spans="1:72" s="4" customFormat="1" x14ac:dyDescent="0.25">
      <c r="A2" s="4" t="s">
        <v>48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</row>
    <row r="4" spans="1:72" ht="13.8" thickBot="1" x14ac:dyDescent="0.3"/>
    <row r="5" spans="1:72" s="5" customFormat="1" ht="15" customHeight="1" x14ac:dyDescent="0.25">
      <c r="A5" s="293" t="s">
        <v>27</v>
      </c>
      <c r="B5" s="296" t="s">
        <v>28</v>
      </c>
      <c r="C5" s="285" t="s">
        <v>37</v>
      </c>
      <c r="D5" s="286"/>
      <c r="E5" s="286"/>
      <c r="F5" s="286"/>
      <c r="G5" s="287"/>
      <c r="H5" s="288" t="s">
        <v>18</v>
      </c>
      <c r="I5" s="289"/>
      <c r="J5" s="289"/>
      <c r="K5" s="289"/>
      <c r="L5" s="290"/>
      <c r="M5" s="288" t="s">
        <v>19</v>
      </c>
      <c r="N5" s="289"/>
      <c r="O5" s="289"/>
      <c r="P5" s="289"/>
      <c r="Q5" s="290"/>
      <c r="R5" s="288" t="s">
        <v>23</v>
      </c>
      <c r="S5" s="289"/>
      <c r="T5" s="289"/>
      <c r="U5" s="289"/>
      <c r="V5" s="290"/>
      <c r="W5" s="288" t="s">
        <v>24</v>
      </c>
      <c r="X5" s="289"/>
      <c r="Y5" s="289"/>
      <c r="Z5" s="289"/>
      <c r="AA5" s="290"/>
      <c r="AB5" s="288" t="s">
        <v>26</v>
      </c>
      <c r="AC5" s="289"/>
      <c r="AD5" s="289"/>
      <c r="AE5" s="289"/>
      <c r="AF5" s="290"/>
      <c r="AG5" s="288" t="s">
        <v>39</v>
      </c>
      <c r="AH5" s="289"/>
      <c r="AI5" s="289"/>
      <c r="AJ5" s="289"/>
      <c r="AK5" s="290"/>
      <c r="AL5" s="288" t="s">
        <v>44</v>
      </c>
      <c r="AM5" s="289"/>
      <c r="AN5" s="289"/>
      <c r="AO5" s="289"/>
      <c r="AP5" s="290"/>
      <c r="AQ5" s="288" t="s">
        <v>55</v>
      </c>
      <c r="AR5" s="289"/>
      <c r="AS5" s="289"/>
      <c r="AT5" s="289"/>
      <c r="AU5" s="290"/>
      <c r="AV5" s="288" t="s">
        <v>56</v>
      </c>
      <c r="AW5" s="289"/>
      <c r="AX5" s="289"/>
      <c r="AY5" s="289"/>
      <c r="AZ5" s="290"/>
      <c r="BA5" s="288" t="s">
        <v>57</v>
      </c>
      <c r="BB5" s="289"/>
      <c r="BC5" s="289"/>
      <c r="BD5" s="289"/>
      <c r="BE5" s="290"/>
      <c r="BF5" s="288" t="s">
        <v>60</v>
      </c>
      <c r="BG5" s="289"/>
      <c r="BH5" s="289"/>
      <c r="BI5" s="289"/>
      <c r="BJ5" s="290"/>
      <c r="BK5" s="288" t="s">
        <v>67</v>
      </c>
      <c r="BL5" s="289"/>
      <c r="BM5" s="289"/>
      <c r="BN5" s="289"/>
      <c r="BO5" s="290"/>
      <c r="BP5" s="288" t="s">
        <v>77</v>
      </c>
      <c r="BQ5" s="289"/>
      <c r="BR5" s="289"/>
      <c r="BS5" s="289"/>
      <c r="BT5" s="290"/>
    </row>
    <row r="6" spans="1:72" s="5" customFormat="1" ht="15" customHeight="1" x14ac:dyDescent="0.25">
      <c r="A6" s="294"/>
      <c r="B6" s="297"/>
      <c r="C6" s="279" t="s">
        <v>29</v>
      </c>
      <c r="D6" s="291" t="s">
        <v>49</v>
      </c>
      <c r="E6" s="291"/>
      <c r="F6" s="291"/>
      <c r="G6" s="292"/>
      <c r="H6" s="279" t="s">
        <v>29</v>
      </c>
      <c r="I6" s="282" t="s">
        <v>49</v>
      </c>
      <c r="J6" s="283"/>
      <c r="K6" s="283"/>
      <c r="L6" s="284"/>
      <c r="M6" s="279" t="s">
        <v>29</v>
      </c>
      <c r="N6" s="282" t="s">
        <v>49</v>
      </c>
      <c r="O6" s="283"/>
      <c r="P6" s="283"/>
      <c r="Q6" s="284"/>
      <c r="R6" s="279" t="s">
        <v>29</v>
      </c>
      <c r="S6" s="282" t="s">
        <v>49</v>
      </c>
      <c r="T6" s="283"/>
      <c r="U6" s="283"/>
      <c r="V6" s="284"/>
      <c r="W6" s="279" t="s">
        <v>29</v>
      </c>
      <c r="X6" s="282" t="s">
        <v>49</v>
      </c>
      <c r="Y6" s="283"/>
      <c r="Z6" s="283"/>
      <c r="AA6" s="284"/>
      <c r="AB6" s="279" t="s">
        <v>29</v>
      </c>
      <c r="AC6" s="282" t="s">
        <v>49</v>
      </c>
      <c r="AD6" s="283"/>
      <c r="AE6" s="283"/>
      <c r="AF6" s="284"/>
      <c r="AG6" s="279" t="s">
        <v>29</v>
      </c>
      <c r="AH6" s="282" t="s">
        <v>49</v>
      </c>
      <c r="AI6" s="283"/>
      <c r="AJ6" s="283"/>
      <c r="AK6" s="284"/>
      <c r="AL6" s="279" t="s">
        <v>29</v>
      </c>
      <c r="AM6" s="282" t="s">
        <v>49</v>
      </c>
      <c r="AN6" s="283"/>
      <c r="AO6" s="283"/>
      <c r="AP6" s="284"/>
      <c r="AQ6" s="279" t="s">
        <v>29</v>
      </c>
      <c r="AR6" s="282" t="s">
        <v>49</v>
      </c>
      <c r="AS6" s="283"/>
      <c r="AT6" s="283"/>
      <c r="AU6" s="284"/>
      <c r="AV6" s="267" t="s">
        <v>29</v>
      </c>
      <c r="AW6" s="270" t="s">
        <v>49</v>
      </c>
      <c r="AX6" s="271"/>
      <c r="AY6" s="271"/>
      <c r="AZ6" s="272"/>
      <c r="BA6" s="267" t="s">
        <v>29</v>
      </c>
      <c r="BB6" s="270" t="s">
        <v>49</v>
      </c>
      <c r="BC6" s="271"/>
      <c r="BD6" s="271"/>
      <c r="BE6" s="272"/>
      <c r="BF6" s="267" t="s">
        <v>29</v>
      </c>
      <c r="BG6" s="270" t="s">
        <v>49</v>
      </c>
      <c r="BH6" s="271"/>
      <c r="BI6" s="271"/>
      <c r="BJ6" s="272"/>
      <c r="BK6" s="267" t="s">
        <v>29</v>
      </c>
      <c r="BL6" s="270" t="s">
        <v>49</v>
      </c>
      <c r="BM6" s="271"/>
      <c r="BN6" s="271"/>
      <c r="BO6" s="272"/>
      <c r="BP6" s="267" t="s">
        <v>29</v>
      </c>
      <c r="BQ6" s="270" t="s">
        <v>49</v>
      </c>
      <c r="BR6" s="271"/>
      <c r="BS6" s="271"/>
      <c r="BT6" s="272"/>
    </row>
    <row r="7" spans="1:72" ht="38.25" customHeight="1" x14ac:dyDescent="0.25">
      <c r="A7" s="294"/>
      <c r="B7" s="297"/>
      <c r="C7" s="280"/>
      <c r="D7" s="276" t="s">
        <v>50</v>
      </c>
      <c r="E7" s="277"/>
      <c r="F7" s="276" t="s">
        <v>51</v>
      </c>
      <c r="G7" s="278"/>
      <c r="H7" s="280"/>
      <c r="I7" s="276" t="s">
        <v>50</v>
      </c>
      <c r="J7" s="277"/>
      <c r="K7" s="276" t="s">
        <v>51</v>
      </c>
      <c r="L7" s="278"/>
      <c r="M7" s="280"/>
      <c r="N7" s="276" t="s">
        <v>50</v>
      </c>
      <c r="O7" s="277"/>
      <c r="P7" s="276" t="s">
        <v>51</v>
      </c>
      <c r="Q7" s="278"/>
      <c r="R7" s="280"/>
      <c r="S7" s="276" t="s">
        <v>50</v>
      </c>
      <c r="T7" s="277"/>
      <c r="U7" s="276" t="s">
        <v>51</v>
      </c>
      <c r="V7" s="278"/>
      <c r="W7" s="280"/>
      <c r="X7" s="276" t="s">
        <v>50</v>
      </c>
      <c r="Y7" s="277"/>
      <c r="Z7" s="276" t="s">
        <v>51</v>
      </c>
      <c r="AA7" s="278"/>
      <c r="AB7" s="280"/>
      <c r="AC7" s="276" t="s">
        <v>50</v>
      </c>
      <c r="AD7" s="277"/>
      <c r="AE7" s="276" t="s">
        <v>51</v>
      </c>
      <c r="AF7" s="278"/>
      <c r="AG7" s="280"/>
      <c r="AH7" s="276" t="s">
        <v>50</v>
      </c>
      <c r="AI7" s="277"/>
      <c r="AJ7" s="276" t="s">
        <v>51</v>
      </c>
      <c r="AK7" s="278"/>
      <c r="AL7" s="280"/>
      <c r="AM7" s="276" t="s">
        <v>50</v>
      </c>
      <c r="AN7" s="277"/>
      <c r="AO7" s="276" t="s">
        <v>51</v>
      </c>
      <c r="AP7" s="278"/>
      <c r="AQ7" s="280"/>
      <c r="AR7" s="276" t="s">
        <v>50</v>
      </c>
      <c r="AS7" s="277"/>
      <c r="AT7" s="276" t="s">
        <v>51</v>
      </c>
      <c r="AU7" s="278"/>
      <c r="AV7" s="268"/>
      <c r="AW7" s="273" t="s">
        <v>50</v>
      </c>
      <c r="AX7" s="274"/>
      <c r="AY7" s="273" t="s">
        <v>51</v>
      </c>
      <c r="AZ7" s="275"/>
      <c r="BA7" s="268"/>
      <c r="BB7" s="273" t="s">
        <v>50</v>
      </c>
      <c r="BC7" s="274"/>
      <c r="BD7" s="273" t="s">
        <v>51</v>
      </c>
      <c r="BE7" s="275"/>
      <c r="BF7" s="268"/>
      <c r="BG7" s="273" t="s">
        <v>50</v>
      </c>
      <c r="BH7" s="274"/>
      <c r="BI7" s="273" t="s">
        <v>51</v>
      </c>
      <c r="BJ7" s="275"/>
      <c r="BK7" s="268"/>
      <c r="BL7" s="273" t="s">
        <v>50</v>
      </c>
      <c r="BM7" s="274"/>
      <c r="BN7" s="273" t="s">
        <v>51</v>
      </c>
      <c r="BO7" s="275"/>
      <c r="BP7" s="268"/>
      <c r="BQ7" s="273" t="s">
        <v>50</v>
      </c>
      <c r="BR7" s="274"/>
      <c r="BS7" s="273" t="s">
        <v>51</v>
      </c>
      <c r="BT7" s="275"/>
    </row>
    <row r="8" spans="1:72" s="27" customFormat="1" ht="15" customHeight="1" thickBot="1" x14ac:dyDescent="0.3">
      <c r="A8" s="295"/>
      <c r="B8" s="298"/>
      <c r="C8" s="281"/>
      <c r="D8" s="116" t="s">
        <v>35</v>
      </c>
      <c r="E8" s="115" t="s">
        <v>36</v>
      </c>
      <c r="F8" s="117" t="s">
        <v>35</v>
      </c>
      <c r="G8" s="118" t="s">
        <v>36</v>
      </c>
      <c r="H8" s="281"/>
      <c r="I8" s="116" t="s">
        <v>35</v>
      </c>
      <c r="J8" s="115" t="s">
        <v>36</v>
      </c>
      <c r="K8" s="117" t="s">
        <v>35</v>
      </c>
      <c r="L8" s="118" t="s">
        <v>36</v>
      </c>
      <c r="M8" s="281"/>
      <c r="N8" s="116" t="s">
        <v>35</v>
      </c>
      <c r="O8" s="115" t="s">
        <v>36</v>
      </c>
      <c r="P8" s="117" t="s">
        <v>35</v>
      </c>
      <c r="Q8" s="118" t="s">
        <v>36</v>
      </c>
      <c r="R8" s="281"/>
      <c r="S8" s="116" t="s">
        <v>35</v>
      </c>
      <c r="T8" s="115" t="s">
        <v>36</v>
      </c>
      <c r="U8" s="117" t="s">
        <v>35</v>
      </c>
      <c r="V8" s="118" t="s">
        <v>36</v>
      </c>
      <c r="W8" s="281"/>
      <c r="X8" s="116" t="s">
        <v>35</v>
      </c>
      <c r="Y8" s="115" t="s">
        <v>36</v>
      </c>
      <c r="Z8" s="117" t="s">
        <v>35</v>
      </c>
      <c r="AA8" s="118" t="s">
        <v>36</v>
      </c>
      <c r="AB8" s="281"/>
      <c r="AC8" s="116" t="s">
        <v>35</v>
      </c>
      <c r="AD8" s="115" t="s">
        <v>36</v>
      </c>
      <c r="AE8" s="117" t="s">
        <v>35</v>
      </c>
      <c r="AF8" s="118" t="s">
        <v>36</v>
      </c>
      <c r="AG8" s="281"/>
      <c r="AH8" s="116" t="s">
        <v>35</v>
      </c>
      <c r="AI8" s="115" t="s">
        <v>36</v>
      </c>
      <c r="AJ8" s="117" t="s">
        <v>35</v>
      </c>
      <c r="AK8" s="119" t="s">
        <v>36</v>
      </c>
      <c r="AL8" s="281"/>
      <c r="AM8" s="116" t="s">
        <v>35</v>
      </c>
      <c r="AN8" s="115" t="s">
        <v>36</v>
      </c>
      <c r="AO8" s="117" t="s">
        <v>35</v>
      </c>
      <c r="AP8" s="119" t="s">
        <v>36</v>
      </c>
      <c r="AQ8" s="281"/>
      <c r="AR8" s="116" t="s">
        <v>35</v>
      </c>
      <c r="AS8" s="115" t="s">
        <v>36</v>
      </c>
      <c r="AT8" s="117" t="s">
        <v>35</v>
      </c>
      <c r="AU8" s="119" t="s">
        <v>36</v>
      </c>
      <c r="AV8" s="269"/>
      <c r="AW8" s="143" t="s">
        <v>35</v>
      </c>
      <c r="AX8" s="144" t="s">
        <v>36</v>
      </c>
      <c r="AY8" s="145" t="s">
        <v>35</v>
      </c>
      <c r="AZ8" s="146" t="s">
        <v>36</v>
      </c>
      <c r="BA8" s="269"/>
      <c r="BB8" s="143" t="s">
        <v>35</v>
      </c>
      <c r="BC8" s="144" t="s">
        <v>36</v>
      </c>
      <c r="BD8" s="145" t="s">
        <v>35</v>
      </c>
      <c r="BE8" s="146" t="s">
        <v>36</v>
      </c>
      <c r="BF8" s="269"/>
      <c r="BG8" s="143" t="s">
        <v>35</v>
      </c>
      <c r="BH8" s="144" t="s">
        <v>36</v>
      </c>
      <c r="BI8" s="145" t="s">
        <v>35</v>
      </c>
      <c r="BJ8" s="146" t="s">
        <v>36</v>
      </c>
      <c r="BK8" s="269"/>
      <c r="BL8" s="143" t="s">
        <v>35</v>
      </c>
      <c r="BM8" s="144" t="s">
        <v>36</v>
      </c>
      <c r="BN8" s="145" t="s">
        <v>35</v>
      </c>
      <c r="BO8" s="146" t="s">
        <v>36</v>
      </c>
      <c r="BP8" s="269"/>
      <c r="BQ8" s="143" t="s">
        <v>35</v>
      </c>
      <c r="BR8" s="144" t="s">
        <v>36</v>
      </c>
      <c r="BS8" s="145" t="s">
        <v>35</v>
      </c>
      <c r="BT8" s="146" t="s">
        <v>36</v>
      </c>
    </row>
    <row r="9" spans="1:72" s="20" customFormat="1" ht="15" customHeight="1" thickBot="1" x14ac:dyDescent="0.3">
      <c r="A9" s="15">
        <v>1</v>
      </c>
      <c r="B9" s="16">
        <v>2</v>
      </c>
      <c r="C9" s="17">
        <v>3</v>
      </c>
      <c r="D9" s="18">
        <v>4</v>
      </c>
      <c r="E9" s="19">
        <v>5</v>
      </c>
      <c r="F9" s="18">
        <v>6</v>
      </c>
      <c r="G9" s="21">
        <v>7</v>
      </c>
      <c r="H9" s="17">
        <v>8</v>
      </c>
      <c r="I9" s="18">
        <v>9</v>
      </c>
      <c r="J9" s="19">
        <v>10</v>
      </c>
      <c r="K9" s="18">
        <v>11</v>
      </c>
      <c r="L9" s="21">
        <v>12</v>
      </c>
      <c r="M9" s="17">
        <v>8</v>
      </c>
      <c r="N9" s="18">
        <v>9</v>
      </c>
      <c r="O9" s="19">
        <v>10</v>
      </c>
      <c r="P9" s="18">
        <v>11</v>
      </c>
      <c r="Q9" s="21">
        <v>12</v>
      </c>
      <c r="R9" s="17">
        <v>8</v>
      </c>
      <c r="S9" s="18">
        <v>9</v>
      </c>
      <c r="T9" s="19">
        <v>10</v>
      </c>
      <c r="U9" s="18">
        <v>11</v>
      </c>
      <c r="V9" s="21">
        <v>12</v>
      </c>
      <c r="W9" s="17">
        <v>13</v>
      </c>
      <c r="X9" s="18">
        <v>14</v>
      </c>
      <c r="Y9" s="19">
        <v>15</v>
      </c>
      <c r="Z9" s="18">
        <v>16</v>
      </c>
      <c r="AA9" s="21">
        <v>17</v>
      </c>
      <c r="AB9" s="17">
        <v>18</v>
      </c>
      <c r="AC9" s="18">
        <v>19</v>
      </c>
      <c r="AD9" s="19">
        <v>20</v>
      </c>
      <c r="AE9" s="18">
        <v>21</v>
      </c>
      <c r="AF9" s="28">
        <v>22</v>
      </c>
      <c r="AG9" s="17">
        <v>23</v>
      </c>
      <c r="AH9" s="18">
        <v>24</v>
      </c>
      <c r="AI9" s="19">
        <v>25</v>
      </c>
      <c r="AJ9" s="18">
        <v>26</v>
      </c>
      <c r="AK9" s="28">
        <v>27</v>
      </c>
      <c r="AL9" s="17">
        <v>28</v>
      </c>
      <c r="AM9" s="18">
        <v>29</v>
      </c>
      <c r="AN9" s="19">
        <v>30</v>
      </c>
      <c r="AO9" s="18">
        <v>31</v>
      </c>
      <c r="AP9" s="28">
        <v>32</v>
      </c>
      <c r="AQ9" s="17">
        <v>33</v>
      </c>
      <c r="AR9" s="18">
        <v>34</v>
      </c>
      <c r="AS9" s="19">
        <v>35</v>
      </c>
      <c r="AT9" s="18">
        <v>36</v>
      </c>
      <c r="AU9" s="28">
        <v>37</v>
      </c>
      <c r="AV9" s="18">
        <v>38</v>
      </c>
      <c r="AW9" s="21">
        <v>39</v>
      </c>
      <c r="AX9" s="18">
        <v>40</v>
      </c>
      <c r="AY9" s="21">
        <v>41</v>
      </c>
      <c r="AZ9" s="18">
        <v>42</v>
      </c>
      <c r="BA9" s="28">
        <v>43</v>
      </c>
      <c r="BB9" s="18">
        <v>44</v>
      </c>
      <c r="BC9" s="21">
        <v>45</v>
      </c>
      <c r="BD9" s="18">
        <v>46</v>
      </c>
      <c r="BE9" s="28">
        <v>47</v>
      </c>
      <c r="BF9" s="21">
        <v>48</v>
      </c>
      <c r="BG9" s="18">
        <v>49</v>
      </c>
      <c r="BH9" s="21">
        <v>50</v>
      </c>
      <c r="BI9" s="18">
        <v>51</v>
      </c>
      <c r="BJ9" s="28">
        <v>52</v>
      </c>
      <c r="BK9" s="21">
        <v>53</v>
      </c>
      <c r="BL9" s="18">
        <v>54</v>
      </c>
      <c r="BM9" s="21">
        <v>55</v>
      </c>
      <c r="BN9" s="18">
        <v>56</v>
      </c>
      <c r="BO9" s="28">
        <v>57</v>
      </c>
      <c r="BP9" s="21">
        <v>53</v>
      </c>
      <c r="BQ9" s="18">
        <v>54</v>
      </c>
      <c r="BR9" s="21">
        <v>55</v>
      </c>
      <c r="BS9" s="18">
        <v>56</v>
      </c>
      <c r="BT9" s="28">
        <v>57</v>
      </c>
    </row>
    <row r="10" spans="1:72" ht="25.2" customHeight="1" x14ac:dyDescent="0.25">
      <c r="A10" s="6">
        <v>1</v>
      </c>
      <c r="B10" s="11" t="s">
        <v>10</v>
      </c>
      <c r="C10" s="23">
        <v>541</v>
      </c>
      <c r="D10" s="24">
        <f>C10-F10</f>
        <v>287</v>
      </c>
      <c r="E10" s="29">
        <f>D10*100/C10</f>
        <v>53.049907578558226</v>
      </c>
      <c r="F10" s="24">
        <v>254</v>
      </c>
      <c r="G10" s="34">
        <f>F10*100/C10</f>
        <v>46.950092421441774</v>
      </c>
      <c r="H10" s="23">
        <v>555</v>
      </c>
      <c r="I10" s="24">
        <f>H10-K10</f>
        <v>308</v>
      </c>
      <c r="J10" s="29">
        <f>I10*100/H10</f>
        <v>55.495495495495497</v>
      </c>
      <c r="K10" s="24">
        <v>247</v>
      </c>
      <c r="L10" s="30">
        <f>K10*100/H10</f>
        <v>44.504504504504503</v>
      </c>
      <c r="M10" s="23">
        <v>560</v>
      </c>
      <c r="N10" s="24">
        <f>M10-P10</f>
        <v>318</v>
      </c>
      <c r="O10" s="29">
        <f>N10*100/M10</f>
        <v>56.785714285714285</v>
      </c>
      <c r="P10" s="24">
        <v>242</v>
      </c>
      <c r="Q10" s="30">
        <f>P10*100/M10</f>
        <v>43.214285714285715</v>
      </c>
      <c r="R10" s="23" t="e">
        <f>Grundtabelle!#REF!</f>
        <v>#REF!</v>
      </c>
      <c r="S10" s="24" t="e">
        <f>R10-U10</f>
        <v>#REF!</v>
      </c>
      <c r="T10" s="29" t="e">
        <f>S10*100/R10</f>
        <v>#REF!</v>
      </c>
      <c r="U10" s="24" t="e">
        <f>Grundtabelle!#REF!</f>
        <v>#REF!</v>
      </c>
      <c r="V10" s="30" t="e">
        <f>U10*100/R10</f>
        <v>#REF!</v>
      </c>
      <c r="W10" s="23" t="e">
        <f>Grundtabelle!#REF!</f>
        <v>#REF!</v>
      </c>
      <c r="X10" s="24" t="e">
        <f>W10-Z10</f>
        <v>#REF!</v>
      </c>
      <c r="Y10" s="29" t="e">
        <f>X10*100/W10</f>
        <v>#REF!</v>
      </c>
      <c r="Z10" s="24" t="e">
        <f>Grundtabelle!#REF!</f>
        <v>#REF!</v>
      </c>
      <c r="AA10" s="30" t="e">
        <f>Z10*100/W10</f>
        <v>#REF!</v>
      </c>
      <c r="AB10" s="23" t="e">
        <f>Grundtabelle!#REF!</f>
        <v>#REF!</v>
      </c>
      <c r="AC10" s="24" t="e">
        <f>AB10-AE10</f>
        <v>#REF!</v>
      </c>
      <c r="AD10" s="29" t="e">
        <f>AC10*100/AB10</f>
        <v>#REF!</v>
      </c>
      <c r="AE10" s="24" t="e">
        <f>Grundtabelle!#REF!</f>
        <v>#REF!</v>
      </c>
      <c r="AF10" s="31" t="e">
        <f>AE10*100/AB10</f>
        <v>#REF!</v>
      </c>
      <c r="AG10" s="23">
        <v>542</v>
      </c>
      <c r="AH10" s="24">
        <f>AG10-AJ10</f>
        <v>296</v>
      </c>
      <c r="AI10" s="29">
        <f>AH10*100/AG10</f>
        <v>54.612546125461257</v>
      </c>
      <c r="AJ10" s="24">
        <v>246</v>
      </c>
      <c r="AK10" s="31">
        <f>AJ10*100/AG10</f>
        <v>45.387453874538743</v>
      </c>
      <c r="AL10" s="23">
        <v>549</v>
      </c>
      <c r="AM10" s="24">
        <f>AL10-AO10</f>
        <v>295</v>
      </c>
      <c r="AN10" s="29">
        <f>AM10*100/AL10</f>
        <v>53.734061930783241</v>
      </c>
      <c r="AO10" s="24">
        <v>254</v>
      </c>
      <c r="AP10" s="31">
        <f t="shared" ref="AP10:AP19" si="0">AO10*100/AL10</f>
        <v>46.265938069216759</v>
      </c>
      <c r="AQ10" s="23">
        <v>559</v>
      </c>
      <c r="AR10" s="24">
        <f>AQ10-AT10</f>
        <v>294</v>
      </c>
      <c r="AS10" s="29">
        <f>AR10*100/AQ10</f>
        <v>52.593917710196777</v>
      </c>
      <c r="AT10" s="24">
        <v>265</v>
      </c>
      <c r="AU10" s="31">
        <f t="shared" ref="AU10:AU19" si="1">AT10*100/AQ10</f>
        <v>47.406082289803223</v>
      </c>
      <c r="AV10" s="23">
        <v>551</v>
      </c>
      <c r="AW10" s="25">
        <f t="shared" ref="AW10:AW18" si="2">AV10-AY10</f>
        <v>293</v>
      </c>
      <c r="AX10" s="29">
        <f>AW10*100/AV10</f>
        <v>53.176043557168782</v>
      </c>
      <c r="AY10" s="24">
        <v>258</v>
      </c>
      <c r="AZ10" s="31">
        <f t="shared" ref="AZ10:AZ19" si="3">AY10*100/AV10</f>
        <v>46.823956442831218</v>
      </c>
      <c r="BA10" s="23">
        <v>557</v>
      </c>
      <c r="BB10" s="25">
        <f t="shared" ref="BB10:BB18" si="4">BA10-BD10</f>
        <v>291</v>
      </c>
      <c r="BC10" s="29">
        <f>BB10*100/BA10</f>
        <v>52.244165170556556</v>
      </c>
      <c r="BD10" s="24">
        <v>266</v>
      </c>
      <c r="BE10" s="31">
        <f t="shared" ref="BE10:BE19" si="5">BD10*100/BA10</f>
        <v>47.755834829443444</v>
      </c>
      <c r="BF10" s="23">
        <v>557</v>
      </c>
      <c r="BG10" s="25">
        <f t="shared" ref="BG10:BG18" si="6">BF10-BI10</f>
        <v>294</v>
      </c>
      <c r="BH10" s="29">
        <f>BG10*100/BF10</f>
        <v>52.782764811490125</v>
      </c>
      <c r="BI10" s="24">
        <v>263</v>
      </c>
      <c r="BJ10" s="31">
        <f t="shared" ref="BJ10:BJ19" si="7">BI10*100/BF10</f>
        <v>47.217235188509875</v>
      </c>
      <c r="BK10" s="23">
        <v>555</v>
      </c>
      <c r="BL10" s="25">
        <f t="shared" ref="BL10:BL18" si="8">BK10-BN10</f>
        <v>299</v>
      </c>
      <c r="BM10" s="29">
        <f>BL10*100/BK10</f>
        <v>53.873873873873876</v>
      </c>
      <c r="BN10" s="24">
        <v>256</v>
      </c>
      <c r="BO10" s="31">
        <f t="shared" ref="BO10:BO19" si="9">BN10*100/BK10</f>
        <v>46.126126126126124</v>
      </c>
      <c r="BP10" s="23"/>
      <c r="BQ10" s="25">
        <f t="shared" ref="BQ10:BQ18" si="10">BP10-BS10</f>
        <v>0</v>
      </c>
      <c r="BR10" s="29" t="e">
        <f>BQ10*100/BP10</f>
        <v>#DIV/0!</v>
      </c>
      <c r="BS10" s="24"/>
      <c r="BT10" s="31" t="e">
        <f t="shared" ref="BT10:BT19" si="11">BS10*100/BP10</f>
        <v>#DIV/0!</v>
      </c>
    </row>
    <row r="11" spans="1:72" ht="25.2" customHeight="1" x14ac:dyDescent="0.25">
      <c r="A11" s="7">
        <f t="shared" ref="A11:A18" si="12">A10+1</f>
        <v>2</v>
      </c>
      <c r="B11" s="12" t="s">
        <v>11</v>
      </c>
      <c r="C11" s="7">
        <v>512</v>
      </c>
      <c r="D11" s="25">
        <f t="shared" ref="D11:D18" si="13">C11-F11</f>
        <v>250</v>
      </c>
      <c r="E11" s="32">
        <f t="shared" ref="E11:E19" si="14">D11*100/C11</f>
        <v>48.828125</v>
      </c>
      <c r="F11" s="25">
        <v>262</v>
      </c>
      <c r="G11" s="35">
        <f t="shared" ref="G11:G18" si="15">F11*100/C11</f>
        <v>51.171875</v>
      </c>
      <c r="H11" s="7">
        <v>502</v>
      </c>
      <c r="I11" s="25">
        <f t="shared" ref="I11:I18" si="16">H11-K11</f>
        <v>237</v>
      </c>
      <c r="J11" s="32">
        <f t="shared" ref="J11:J19" si="17">I11*100/H11</f>
        <v>47.211155378486055</v>
      </c>
      <c r="K11" s="25">
        <v>265</v>
      </c>
      <c r="L11" s="37">
        <f t="shared" ref="L11:L19" si="18">K11*100/H11</f>
        <v>52.788844621513945</v>
      </c>
      <c r="M11" s="7">
        <v>519</v>
      </c>
      <c r="N11" s="25">
        <f t="shared" ref="N11:N18" si="19">M11-P11</f>
        <v>258</v>
      </c>
      <c r="O11" s="32">
        <f t="shared" ref="O11:O19" si="20">N11*100/M11</f>
        <v>49.710982658959537</v>
      </c>
      <c r="P11" s="25">
        <v>261</v>
      </c>
      <c r="Q11" s="37">
        <f t="shared" ref="Q11:Q19" si="21">P11*100/M11</f>
        <v>50.289017341040463</v>
      </c>
      <c r="R11" s="7" t="e">
        <f>Grundtabelle!#REF!</f>
        <v>#REF!</v>
      </c>
      <c r="S11" s="25" t="e">
        <f t="shared" ref="S11:S18" si="22">R11-U11</f>
        <v>#REF!</v>
      </c>
      <c r="T11" s="32" t="e">
        <f t="shared" ref="T11:T19" si="23">S11*100/R11</f>
        <v>#REF!</v>
      </c>
      <c r="U11" s="25" t="e">
        <f>Grundtabelle!#REF!</f>
        <v>#REF!</v>
      </c>
      <c r="V11" s="37" t="e">
        <f t="shared" ref="V11:V19" si="24">U11*100/R11</f>
        <v>#REF!</v>
      </c>
      <c r="W11" s="7" t="e">
        <f>Grundtabelle!#REF!</f>
        <v>#REF!</v>
      </c>
      <c r="X11" s="25" t="e">
        <f t="shared" ref="X11:X18" si="25">W11-Z11</f>
        <v>#REF!</v>
      </c>
      <c r="Y11" s="32" t="e">
        <f t="shared" ref="Y11:Y19" si="26">X11*100/W11</f>
        <v>#REF!</v>
      </c>
      <c r="Z11" s="25" t="e">
        <f>Grundtabelle!#REF!</f>
        <v>#REF!</v>
      </c>
      <c r="AA11" s="37" t="e">
        <f t="shared" ref="AA11:AA19" si="27">Z11*100/W11</f>
        <v>#REF!</v>
      </c>
      <c r="AB11" s="7" t="e">
        <f>Grundtabelle!#REF!</f>
        <v>#REF!</v>
      </c>
      <c r="AC11" s="25" t="e">
        <f t="shared" ref="AC11:AC18" si="28">AB11-AE11</f>
        <v>#REF!</v>
      </c>
      <c r="AD11" s="32" t="e">
        <f t="shared" ref="AD11:AD19" si="29">AC11*100/AB11</f>
        <v>#REF!</v>
      </c>
      <c r="AE11" s="25" t="e">
        <f>Grundtabelle!#REF!</f>
        <v>#REF!</v>
      </c>
      <c r="AF11" s="39" t="e">
        <f t="shared" ref="AF11:AF19" si="30">AE11*100/AB11</f>
        <v>#REF!</v>
      </c>
      <c r="AG11" s="7">
        <v>413</v>
      </c>
      <c r="AH11" s="25">
        <f t="shared" ref="AH11:AH18" si="31">AG11-AJ11</f>
        <v>224</v>
      </c>
      <c r="AI11" s="32">
        <f t="shared" ref="AI11:AI19" si="32">AH11*100/AG11</f>
        <v>54.237288135593218</v>
      </c>
      <c r="AJ11" s="25">
        <v>189</v>
      </c>
      <c r="AK11" s="39">
        <f t="shared" ref="AK11:AK19" si="33">AJ11*100/AG11</f>
        <v>45.762711864406782</v>
      </c>
      <c r="AL11" s="7">
        <v>405</v>
      </c>
      <c r="AM11" s="25">
        <f t="shared" ref="AM11:AM18" si="34">AL11-AO11</f>
        <v>221</v>
      </c>
      <c r="AN11" s="32">
        <f t="shared" ref="AN11:AN19" si="35">AM11*100/AL11</f>
        <v>54.567901234567898</v>
      </c>
      <c r="AO11" s="25">
        <v>184</v>
      </c>
      <c r="AP11" s="39">
        <f t="shared" si="0"/>
        <v>45.432098765432102</v>
      </c>
      <c r="AQ11" s="7">
        <v>401</v>
      </c>
      <c r="AR11" s="25">
        <f t="shared" ref="AR11:AR18" si="36">AQ11-AT11</f>
        <v>226</v>
      </c>
      <c r="AS11" s="32">
        <f t="shared" ref="AS11:AS19" si="37">AR11*100/AQ11</f>
        <v>56.359102244389028</v>
      </c>
      <c r="AT11" s="25">
        <v>175</v>
      </c>
      <c r="AU11" s="39">
        <f t="shared" si="1"/>
        <v>43.640897755610972</v>
      </c>
      <c r="AV11" s="7">
        <v>337</v>
      </c>
      <c r="AW11" s="25">
        <f t="shared" si="2"/>
        <v>189</v>
      </c>
      <c r="AX11" s="32">
        <f t="shared" ref="AX11:AX19" si="38">AW11*100/AV11</f>
        <v>56.083086053412465</v>
      </c>
      <c r="AY11" s="25">
        <v>148</v>
      </c>
      <c r="AZ11" s="39">
        <f t="shared" si="3"/>
        <v>43.916913946587535</v>
      </c>
      <c r="BA11" s="7">
        <v>356</v>
      </c>
      <c r="BB11" s="25">
        <f t="shared" si="4"/>
        <v>202</v>
      </c>
      <c r="BC11" s="32">
        <f t="shared" ref="BC11:BC19" si="39">BB11*100/BA11</f>
        <v>56.741573033707866</v>
      </c>
      <c r="BD11" s="25">
        <v>154</v>
      </c>
      <c r="BE11" s="39">
        <f t="shared" si="5"/>
        <v>43.258426966292134</v>
      </c>
      <c r="BF11" s="7">
        <v>358</v>
      </c>
      <c r="BG11" s="25">
        <f t="shared" si="6"/>
        <v>192</v>
      </c>
      <c r="BH11" s="32">
        <f t="shared" ref="BH11:BH19" si="40">BG11*100/BF11</f>
        <v>53.631284916201118</v>
      </c>
      <c r="BI11" s="25">
        <v>166</v>
      </c>
      <c r="BJ11" s="39">
        <f t="shared" si="7"/>
        <v>46.368715083798882</v>
      </c>
      <c r="BK11" s="7">
        <v>341</v>
      </c>
      <c r="BL11" s="25">
        <f t="shared" si="8"/>
        <v>192</v>
      </c>
      <c r="BM11" s="32">
        <f t="shared" ref="BM11:BM19" si="41">BL11*100/BK11</f>
        <v>56.304985337243401</v>
      </c>
      <c r="BN11" s="25">
        <v>149</v>
      </c>
      <c r="BO11" s="39">
        <f t="shared" si="9"/>
        <v>43.695014662756599</v>
      </c>
      <c r="BP11" s="7"/>
      <c r="BQ11" s="25">
        <f t="shared" si="10"/>
        <v>0</v>
      </c>
      <c r="BR11" s="32" t="e">
        <f t="shared" ref="BR11:BR19" si="42">BQ11*100/BP11</f>
        <v>#DIV/0!</v>
      </c>
      <c r="BS11" s="25"/>
      <c r="BT11" s="39" t="e">
        <f t="shared" si="11"/>
        <v>#DIV/0!</v>
      </c>
    </row>
    <row r="12" spans="1:72" ht="25.2" customHeight="1" x14ac:dyDescent="0.25">
      <c r="A12" s="7">
        <f t="shared" si="12"/>
        <v>3</v>
      </c>
      <c r="B12" s="12" t="s">
        <v>22</v>
      </c>
      <c r="C12" s="7">
        <v>508</v>
      </c>
      <c r="D12" s="25">
        <f t="shared" si="13"/>
        <v>263</v>
      </c>
      <c r="E12" s="32">
        <f t="shared" si="14"/>
        <v>51.771653543307089</v>
      </c>
      <c r="F12" s="25">
        <v>245</v>
      </c>
      <c r="G12" s="35">
        <f t="shared" si="15"/>
        <v>48.228346456692911</v>
      </c>
      <c r="H12" s="7">
        <v>510</v>
      </c>
      <c r="I12" s="25">
        <f t="shared" si="16"/>
        <v>258</v>
      </c>
      <c r="J12" s="32">
        <f t="shared" si="17"/>
        <v>50.588235294117645</v>
      </c>
      <c r="K12" s="25">
        <v>252</v>
      </c>
      <c r="L12" s="37">
        <f t="shared" si="18"/>
        <v>49.411764705882355</v>
      </c>
      <c r="M12" s="7">
        <v>503</v>
      </c>
      <c r="N12" s="25">
        <f t="shared" si="19"/>
        <v>254</v>
      </c>
      <c r="O12" s="32">
        <f t="shared" si="20"/>
        <v>50.497017892644138</v>
      </c>
      <c r="P12" s="25">
        <v>249</v>
      </c>
      <c r="Q12" s="37">
        <f t="shared" si="21"/>
        <v>49.502982107355862</v>
      </c>
      <c r="R12" s="7" t="e">
        <f>Grundtabelle!#REF!</f>
        <v>#REF!</v>
      </c>
      <c r="S12" s="25" t="e">
        <f t="shared" si="22"/>
        <v>#REF!</v>
      </c>
      <c r="T12" s="32" t="e">
        <f t="shared" si="23"/>
        <v>#REF!</v>
      </c>
      <c r="U12" s="25" t="e">
        <f>Grundtabelle!#REF!</f>
        <v>#REF!</v>
      </c>
      <c r="V12" s="37" t="e">
        <f t="shared" si="24"/>
        <v>#REF!</v>
      </c>
      <c r="W12" s="7" t="e">
        <f>Grundtabelle!#REF!</f>
        <v>#REF!</v>
      </c>
      <c r="X12" s="25" t="e">
        <f t="shared" si="25"/>
        <v>#REF!</v>
      </c>
      <c r="Y12" s="32" t="e">
        <f t="shared" si="26"/>
        <v>#REF!</v>
      </c>
      <c r="Z12" s="25" t="e">
        <f>Grundtabelle!#REF!</f>
        <v>#REF!</v>
      </c>
      <c r="AA12" s="37" t="e">
        <f t="shared" si="27"/>
        <v>#REF!</v>
      </c>
      <c r="AB12" s="7" t="e">
        <f>Grundtabelle!#REF!</f>
        <v>#REF!</v>
      </c>
      <c r="AC12" s="25" t="e">
        <f t="shared" si="28"/>
        <v>#REF!</v>
      </c>
      <c r="AD12" s="32" t="e">
        <f t="shared" si="29"/>
        <v>#REF!</v>
      </c>
      <c r="AE12" s="25" t="e">
        <f>Grundtabelle!#REF!</f>
        <v>#REF!</v>
      </c>
      <c r="AF12" s="39" t="e">
        <f t="shared" si="30"/>
        <v>#REF!</v>
      </c>
      <c r="AG12" s="7">
        <v>473</v>
      </c>
      <c r="AH12" s="25">
        <f t="shared" si="31"/>
        <v>223</v>
      </c>
      <c r="AI12" s="32">
        <f t="shared" si="32"/>
        <v>47.145877378435515</v>
      </c>
      <c r="AJ12" s="25">
        <v>250</v>
      </c>
      <c r="AK12" s="39">
        <f t="shared" si="33"/>
        <v>52.854122621564485</v>
      </c>
      <c r="AL12" s="7">
        <v>453</v>
      </c>
      <c r="AM12" s="25">
        <f t="shared" si="34"/>
        <v>218</v>
      </c>
      <c r="AN12" s="32">
        <f t="shared" si="35"/>
        <v>48.123620309050771</v>
      </c>
      <c r="AO12" s="25">
        <v>235</v>
      </c>
      <c r="AP12" s="39">
        <f t="shared" si="0"/>
        <v>51.876379690949229</v>
      </c>
      <c r="AQ12" s="7">
        <v>437</v>
      </c>
      <c r="AR12" s="25">
        <f t="shared" si="36"/>
        <v>228</v>
      </c>
      <c r="AS12" s="32">
        <f t="shared" si="37"/>
        <v>52.173913043478258</v>
      </c>
      <c r="AT12" s="25">
        <v>209</v>
      </c>
      <c r="AU12" s="39">
        <f t="shared" si="1"/>
        <v>47.826086956521742</v>
      </c>
      <c r="AV12" s="7">
        <v>432</v>
      </c>
      <c r="AW12" s="25">
        <f t="shared" si="2"/>
        <v>227</v>
      </c>
      <c r="AX12" s="32">
        <f t="shared" si="38"/>
        <v>52.546296296296298</v>
      </c>
      <c r="AY12" s="25">
        <v>205</v>
      </c>
      <c r="AZ12" s="39">
        <f t="shared" si="3"/>
        <v>47.453703703703702</v>
      </c>
      <c r="BA12" s="7">
        <v>410</v>
      </c>
      <c r="BB12" s="25">
        <f t="shared" si="4"/>
        <v>207</v>
      </c>
      <c r="BC12" s="32">
        <f t="shared" si="39"/>
        <v>50.487804878048777</v>
      </c>
      <c r="BD12" s="25">
        <v>203</v>
      </c>
      <c r="BE12" s="39">
        <f t="shared" si="5"/>
        <v>49.512195121951223</v>
      </c>
      <c r="BF12" s="7">
        <v>432</v>
      </c>
      <c r="BG12" s="25">
        <f t="shared" si="6"/>
        <v>226</v>
      </c>
      <c r="BH12" s="32">
        <f t="shared" si="40"/>
        <v>52.314814814814817</v>
      </c>
      <c r="BI12" s="25">
        <v>206</v>
      </c>
      <c r="BJ12" s="39">
        <f t="shared" si="7"/>
        <v>47.685185185185183</v>
      </c>
      <c r="BK12" s="7">
        <v>454</v>
      </c>
      <c r="BL12" s="25">
        <f t="shared" si="8"/>
        <v>238</v>
      </c>
      <c r="BM12" s="32">
        <f t="shared" si="41"/>
        <v>52.422907488986787</v>
      </c>
      <c r="BN12" s="25">
        <v>216</v>
      </c>
      <c r="BO12" s="39">
        <f t="shared" si="9"/>
        <v>47.577092511013213</v>
      </c>
      <c r="BP12" s="7"/>
      <c r="BQ12" s="25">
        <f t="shared" si="10"/>
        <v>0</v>
      </c>
      <c r="BR12" s="32" t="e">
        <f t="shared" si="42"/>
        <v>#DIV/0!</v>
      </c>
      <c r="BS12" s="25"/>
      <c r="BT12" s="39" t="e">
        <f t="shared" si="11"/>
        <v>#DIV/0!</v>
      </c>
    </row>
    <row r="13" spans="1:72" ht="25.2" customHeight="1" x14ac:dyDescent="0.25">
      <c r="A13" s="7">
        <f t="shared" si="12"/>
        <v>4</v>
      </c>
      <c r="B13" s="12" t="s">
        <v>21</v>
      </c>
      <c r="C13" s="7">
        <v>510</v>
      </c>
      <c r="D13" s="25">
        <f t="shared" si="13"/>
        <v>237</v>
      </c>
      <c r="E13" s="32">
        <f t="shared" si="14"/>
        <v>46.470588235294116</v>
      </c>
      <c r="F13" s="25">
        <v>273</v>
      </c>
      <c r="G13" s="35">
        <f t="shared" si="15"/>
        <v>53.529411764705884</v>
      </c>
      <c r="H13" s="7">
        <v>590</v>
      </c>
      <c r="I13" s="25">
        <f t="shared" si="16"/>
        <v>267</v>
      </c>
      <c r="J13" s="32">
        <f t="shared" si="17"/>
        <v>45.254237288135592</v>
      </c>
      <c r="K13" s="25">
        <v>323</v>
      </c>
      <c r="L13" s="37">
        <f t="shared" si="18"/>
        <v>54.745762711864408</v>
      </c>
      <c r="M13" s="7">
        <v>598</v>
      </c>
      <c r="N13" s="25">
        <f t="shared" si="19"/>
        <v>275</v>
      </c>
      <c r="O13" s="32">
        <f t="shared" si="20"/>
        <v>45.986622073578594</v>
      </c>
      <c r="P13" s="25">
        <v>323</v>
      </c>
      <c r="Q13" s="37">
        <f t="shared" si="21"/>
        <v>54.013377926421406</v>
      </c>
      <c r="R13" s="7" t="e">
        <f>Grundtabelle!#REF!</f>
        <v>#REF!</v>
      </c>
      <c r="S13" s="25" t="e">
        <f t="shared" si="22"/>
        <v>#REF!</v>
      </c>
      <c r="T13" s="32" t="e">
        <f t="shared" si="23"/>
        <v>#REF!</v>
      </c>
      <c r="U13" s="25" t="e">
        <f>Grundtabelle!#REF!</f>
        <v>#REF!</v>
      </c>
      <c r="V13" s="37" t="e">
        <f t="shared" si="24"/>
        <v>#REF!</v>
      </c>
      <c r="W13" s="7" t="e">
        <f>Grundtabelle!#REF!</f>
        <v>#REF!</v>
      </c>
      <c r="X13" s="25" t="e">
        <f t="shared" si="25"/>
        <v>#REF!</v>
      </c>
      <c r="Y13" s="32" t="e">
        <f t="shared" si="26"/>
        <v>#REF!</v>
      </c>
      <c r="Z13" s="25" t="e">
        <f>Grundtabelle!#REF!</f>
        <v>#REF!</v>
      </c>
      <c r="AA13" s="37" t="e">
        <f t="shared" si="27"/>
        <v>#REF!</v>
      </c>
      <c r="AB13" s="7" t="e">
        <f>Grundtabelle!#REF!</f>
        <v>#REF!</v>
      </c>
      <c r="AC13" s="25" t="e">
        <f t="shared" si="28"/>
        <v>#REF!</v>
      </c>
      <c r="AD13" s="32" t="e">
        <f t="shared" si="29"/>
        <v>#REF!</v>
      </c>
      <c r="AE13" s="25" t="e">
        <f>Grundtabelle!#REF!</f>
        <v>#REF!</v>
      </c>
      <c r="AF13" s="39" t="e">
        <f t="shared" si="30"/>
        <v>#REF!</v>
      </c>
      <c r="AG13" s="7">
        <v>592</v>
      </c>
      <c r="AH13" s="25">
        <f t="shared" si="31"/>
        <v>287</v>
      </c>
      <c r="AI13" s="32">
        <f t="shared" si="32"/>
        <v>48.479729729729726</v>
      </c>
      <c r="AJ13" s="25">
        <v>305</v>
      </c>
      <c r="AK13" s="39">
        <f t="shared" si="33"/>
        <v>51.520270270270274</v>
      </c>
      <c r="AL13" s="7">
        <v>548</v>
      </c>
      <c r="AM13" s="25">
        <f t="shared" si="34"/>
        <v>264</v>
      </c>
      <c r="AN13" s="32">
        <f t="shared" si="35"/>
        <v>48.175182481751825</v>
      </c>
      <c r="AO13" s="25">
        <v>284</v>
      </c>
      <c r="AP13" s="39">
        <f t="shared" si="0"/>
        <v>51.824817518248175</v>
      </c>
      <c r="AQ13" s="7">
        <v>518</v>
      </c>
      <c r="AR13" s="25">
        <f t="shared" si="36"/>
        <v>256</v>
      </c>
      <c r="AS13" s="32">
        <f t="shared" si="37"/>
        <v>49.420849420849422</v>
      </c>
      <c r="AT13" s="25">
        <v>262</v>
      </c>
      <c r="AU13" s="39">
        <f t="shared" si="1"/>
        <v>50.579150579150578</v>
      </c>
      <c r="AV13" s="7">
        <v>511</v>
      </c>
      <c r="AW13" s="25">
        <f t="shared" si="2"/>
        <v>255</v>
      </c>
      <c r="AX13" s="32">
        <f t="shared" si="38"/>
        <v>49.902152641878672</v>
      </c>
      <c r="AY13" s="25">
        <v>256</v>
      </c>
      <c r="AZ13" s="39">
        <f t="shared" si="3"/>
        <v>50.097847358121328</v>
      </c>
      <c r="BA13" s="7">
        <v>522</v>
      </c>
      <c r="BB13" s="25">
        <f t="shared" si="4"/>
        <v>272</v>
      </c>
      <c r="BC13" s="32">
        <f t="shared" si="39"/>
        <v>52.107279693486589</v>
      </c>
      <c r="BD13" s="25">
        <v>250</v>
      </c>
      <c r="BE13" s="39">
        <f t="shared" si="5"/>
        <v>47.892720306513411</v>
      </c>
      <c r="BF13" s="7">
        <v>528</v>
      </c>
      <c r="BG13" s="25">
        <f t="shared" si="6"/>
        <v>258</v>
      </c>
      <c r="BH13" s="32">
        <f t="shared" si="40"/>
        <v>48.863636363636367</v>
      </c>
      <c r="BI13" s="25">
        <v>270</v>
      </c>
      <c r="BJ13" s="39">
        <f t="shared" si="7"/>
        <v>51.136363636363633</v>
      </c>
      <c r="BK13" s="7">
        <v>503</v>
      </c>
      <c r="BL13" s="25">
        <f t="shared" si="8"/>
        <v>258</v>
      </c>
      <c r="BM13" s="32">
        <f t="shared" si="41"/>
        <v>51.292246520874748</v>
      </c>
      <c r="BN13" s="25">
        <v>245</v>
      </c>
      <c r="BO13" s="39">
        <f t="shared" si="9"/>
        <v>48.707753479125252</v>
      </c>
      <c r="BP13" s="7">
        <v>510</v>
      </c>
      <c r="BQ13" s="25">
        <f t="shared" si="10"/>
        <v>276</v>
      </c>
      <c r="BR13" s="32">
        <f t="shared" si="42"/>
        <v>54.117647058823529</v>
      </c>
      <c r="BS13" s="25">
        <v>234</v>
      </c>
      <c r="BT13" s="39">
        <f t="shared" si="11"/>
        <v>45.882352941176471</v>
      </c>
    </row>
    <row r="14" spans="1:72" ht="25.2" customHeight="1" x14ac:dyDescent="0.25">
      <c r="A14" s="7">
        <f t="shared" si="12"/>
        <v>5</v>
      </c>
      <c r="B14" s="12" t="s">
        <v>12</v>
      </c>
      <c r="C14" s="7">
        <v>531</v>
      </c>
      <c r="D14" s="25">
        <f t="shared" si="13"/>
        <v>280</v>
      </c>
      <c r="E14" s="32">
        <f t="shared" si="14"/>
        <v>52.730696798493412</v>
      </c>
      <c r="F14" s="25">
        <v>251</v>
      </c>
      <c r="G14" s="35">
        <f t="shared" si="15"/>
        <v>47.269303201506588</v>
      </c>
      <c r="H14" s="7">
        <v>503</v>
      </c>
      <c r="I14" s="25">
        <f t="shared" si="16"/>
        <v>271</v>
      </c>
      <c r="J14" s="32">
        <f t="shared" si="17"/>
        <v>53.876739562624252</v>
      </c>
      <c r="K14" s="25">
        <v>232</v>
      </c>
      <c r="L14" s="37">
        <f t="shared" si="18"/>
        <v>46.123260437375748</v>
      </c>
      <c r="M14" s="7">
        <v>526</v>
      </c>
      <c r="N14" s="25">
        <f t="shared" si="19"/>
        <v>271</v>
      </c>
      <c r="O14" s="32">
        <f t="shared" si="20"/>
        <v>51.520912547528518</v>
      </c>
      <c r="P14" s="25">
        <v>255</v>
      </c>
      <c r="Q14" s="37">
        <f t="shared" si="21"/>
        <v>48.479087452471482</v>
      </c>
      <c r="R14" s="7" t="e">
        <f>Grundtabelle!#REF!</f>
        <v>#REF!</v>
      </c>
      <c r="S14" s="25" t="e">
        <f t="shared" si="22"/>
        <v>#REF!</v>
      </c>
      <c r="T14" s="32" t="e">
        <f t="shared" si="23"/>
        <v>#REF!</v>
      </c>
      <c r="U14" s="25" t="e">
        <f>Grundtabelle!#REF!</f>
        <v>#REF!</v>
      </c>
      <c r="V14" s="37" t="e">
        <f t="shared" si="24"/>
        <v>#REF!</v>
      </c>
      <c r="W14" s="7" t="e">
        <f>Grundtabelle!#REF!</f>
        <v>#REF!</v>
      </c>
      <c r="X14" s="25" t="e">
        <f t="shared" si="25"/>
        <v>#REF!</v>
      </c>
      <c r="Y14" s="32" t="e">
        <f t="shared" si="26"/>
        <v>#REF!</v>
      </c>
      <c r="Z14" s="25" t="e">
        <f>Grundtabelle!#REF!</f>
        <v>#REF!</v>
      </c>
      <c r="AA14" s="37" t="e">
        <f t="shared" si="27"/>
        <v>#REF!</v>
      </c>
      <c r="AB14" s="7" t="e">
        <f>Grundtabelle!#REF!</f>
        <v>#REF!</v>
      </c>
      <c r="AC14" s="25" t="e">
        <f t="shared" si="28"/>
        <v>#REF!</v>
      </c>
      <c r="AD14" s="32" t="e">
        <f t="shared" si="29"/>
        <v>#REF!</v>
      </c>
      <c r="AE14" s="25" t="e">
        <f>Grundtabelle!#REF!</f>
        <v>#REF!</v>
      </c>
      <c r="AF14" s="39" t="e">
        <f t="shared" si="30"/>
        <v>#REF!</v>
      </c>
      <c r="AG14" s="7">
        <v>555</v>
      </c>
      <c r="AH14" s="25">
        <f t="shared" si="31"/>
        <v>295</v>
      </c>
      <c r="AI14" s="32">
        <f t="shared" si="32"/>
        <v>53.153153153153156</v>
      </c>
      <c r="AJ14" s="25">
        <v>260</v>
      </c>
      <c r="AK14" s="39">
        <f>AJ14*100/AG14</f>
        <v>46.846846846846844</v>
      </c>
      <c r="AL14" s="7">
        <v>583</v>
      </c>
      <c r="AM14" s="25">
        <f t="shared" si="34"/>
        <v>318</v>
      </c>
      <c r="AN14" s="32">
        <f t="shared" si="35"/>
        <v>54.545454545454547</v>
      </c>
      <c r="AO14" s="25">
        <v>265</v>
      </c>
      <c r="AP14" s="39">
        <f t="shared" si="0"/>
        <v>45.454545454545453</v>
      </c>
      <c r="AQ14" s="7">
        <v>603</v>
      </c>
      <c r="AR14" s="25">
        <f t="shared" si="36"/>
        <v>330</v>
      </c>
      <c r="AS14" s="32">
        <f t="shared" si="37"/>
        <v>54.726368159203979</v>
      </c>
      <c r="AT14" s="25">
        <v>273</v>
      </c>
      <c r="AU14" s="39">
        <f t="shared" si="1"/>
        <v>45.273631840796021</v>
      </c>
      <c r="AV14" s="7">
        <v>583</v>
      </c>
      <c r="AW14" s="25">
        <f t="shared" si="2"/>
        <v>331</v>
      </c>
      <c r="AX14" s="32">
        <f t="shared" si="38"/>
        <v>56.775300171526588</v>
      </c>
      <c r="AY14" s="25">
        <v>252</v>
      </c>
      <c r="AZ14" s="39">
        <f t="shared" si="3"/>
        <v>43.224699828473412</v>
      </c>
      <c r="BA14" s="7">
        <v>585</v>
      </c>
      <c r="BB14" s="25">
        <f t="shared" si="4"/>
        <v>337</v>
      </c>
      <c r="BC14" s="32">
        <f t="shared" si="39"/>
        <v>57.606837606837608</v>
      </c>
      <c r="BD14" s="25">
        <v>248</v>
      </c>
      <c r="BE14" s="39">
        <f t="shared" si="5"/>
        <v>42.393162393162392</v>
      </c>
      <c r="BF14" s="7">
        <v>561</v>
      </c>
      <c r="BG14" s="25">
        <f t="shared" si="6"/>
        <v>314</v>
      </c>
      <c r="BH14" s="32">
        <f t="shared" si="40"/>
        <v>55.971479500891263</v>
      </c>
      <c r="BI14" s="25">
        <v>247</v>
      </c>
      <c r="BJ14" s="39">
        <f t="shared" si="7"/>
        <v>44.028520499108737</v>
      </c>
      <c r="BK14" s="7">
        <v>559</v>
      </c>
      <c r="BL14" s="25">
        <f t="shared" si="8"/>
        <v>316</v>
      </c>
      <c r="BM14" s="32">
        <f t="shared" si="41"/>
        <v>56.529516994633276</v>
      </c>
      <c r="BN14" s="25">
        <v>243</v>
      </c>
      <c r="BO14" s="39">
        <f t="shared" si="9"/>
        <v>43.470483005366724</v>
      </c>
      <c r="BP14" s="7"/>
      <c r="BQ14" s="25">
        <f t="shared" si="10"/>
        <v>0</v>
      </c>
      <c r="BR14" s="32" t="e">
        <f t="shared" si="42"/>
        <v>#DIV/0!</v>
      </c>
      <c r="BS14" s="25"/>
      <c r="BT14" s="39" t="e">
        <f t="shared" si="11"/>
        <v>#DIV/0!</v>
      </c>
    </row>
    <row r="15" spans="1:72" ht="25.2" customHeight="1" x14ac:dyDescent="0.25">
      <c r="A15" s="7">
        <f t="shared" si="12"/>
        <v>6</v>
      </c>
      <c r="B15" s="12" t="s">
        <v>20</v>
      </c>
      <c r="C15" s="7">
        <v>366</v>
      </c>
      <c r="D15" s="25">
        <f t="shared" si="13"/>
        <v>223</v>
      </c>
      <c r="E15" s="32">
        <f t="shared" si="14"/>
        <v>60.928961748633881</v>
      </c>
      <c r="F15" s="25">
        <v>143</v>
      </c>
      <c r="G15" s="35">
        <f t="shared" si="15"/>
        <v>39.071038251366119</v>
      </c>
      <c r="H15" s="7">
        <v>461</v>
      </c>
      <c r="I15" s="25">
        <f t="shared" si="16"/>
        <v>274</v>
      </c>
      <c r="J15" s="32">
        <f t="shared" si="17"/>
        <v>59.436008676789591</v>
      </c>
      <c r="K15" s="25">
        <v>187</v>
      </c>
      <c r="L15" s="37">
        <f t="shared" si="18"/>
        <v>40.563991323210409</v>
      </c>
      <c r="M15" s="7">
        <v>497</v>
      </c>
      <c r="N15" s="25">
        <f t="shared" si="19"/>
        <v>265</v>
      </c>
      <c r="O15" s="32">
        <f t="shared" si="20"/>
        <v>53.319919517102619</v>
      </c>
      <c r="P15" s="25">
        <v>232</v>
      </c>
      <c r="Q15" s="37">
        <f t="shared" si="21"/>
        <v>46.680080482897381</v>
      </c>
      <c r="R15" s="7" t="e">
        <f>Grundtabelle!#REF!</f>
        <v>#REF!</v>
      </c>
      <c r="S15" s="25" t="e">
        <f t="shared" si="22"/>
        <v>#REF!</v>
      </c>
      <c r="T15" s="32" t="e">
        <f t="shared" si="23"/>
        <v>#REF!</v>
      </c>
      <c r="U15" s="25" t="e">
        <f>Grundtabelle!#REF!</f>
        <v>#REF!</v>
      </c>
      <c r="V15" s="37" t="e">
        <f t="shared" si="24"/>
        <v>#REF!</v>
      </c>
      <c r="W15" s="7" t="e">
        <f>Grundtabelle!#REF!</f>
        <v>#REF!</v>
      </c>
      <c r="X15" s="25" t="e">
        <f t="shared" si="25"/>
        <v>#REF!</v>
      </c>
      <c r="Y15" s="32" t="e">
        <f t="shared" si="26"/>
        <v>#REF!</v>
      </c>
      <c r="Z15" s="25" t="e">
        <f>Grundtabelle!#REF!</f>
        <v>#REF!</v>
      </c>
      <c r="AA15" s="37" t="e">
        <f t="shared" si="27"/>
        <v>#REF!</v>
      </c>
      <c r="AB15" s="7" t="e">
        <f>Grundtabelle!#REF!</f>
        <v>#REF!</v>
      </c>
      <c r="AC15" s="25" t="e">
        <f t="shared" si="28"/>
        <v>#REF!</v>
      </c>
      <c r="AD15" s="32" t="e">
        <f t="shared" si="29"/>
        <v>#REF!</v>
      </c>
      <c r="AE15" s="25" t="e">
        <f>Grundtabelle!#REF!</f>
        <v>#REF!</v>
      </c>
      <c r="AF15" s="39" t="e">
        <f t="shared" si="30"/>
        <v>#REF!</v>
      </c>
      <c r="AG15" s="7">
        <v>460</v>
      </c>
      <c r="AH15" s="25">
        <f t="shared" si="31"/>
        <v>247</v>
      </c>
      <c r="AI15" s="32">
        <f t="shared" si="32"/>
        <v>53.695652173913047</v>
      </c>
      <c r="AJ15" s="25">
        <v>213</v>
      </c>
      <c r="AK15" s="39">
        <f t="shared" si="33"/>
        <v>46.304347826086953</v>
      </c>
      <c r="AL15" s="7">
        <v>451</v>
      </c>
      <c r="AM15" s="25">
        <f t="shared" si="34"/>
        <v>256</v>
      </c>
      <c r="AN15" s="32">
        <f t="shared" si="35"/>
        <v>56.762749445676278</v>
      </c>
      <c r="AO15" s="25">
        <v>195</v>
      </c>
      <c r="AP15" s="39">
        <f t="shared" si="0"/>
        <v>43.237250554323722</v>
      </c>
      <c r="AQ15" s="7">
        <v>454</v>
      </c>
      <c r="AR15" s="25">
        <f t="shared" si="36"/>
        <v>264</v>
      </c>
      <c r="AS15" s="32">
        <f t="shared" si="37"/>
        <v>58.14977973568282</v>
      </c>
      <c r="AT15" s="25">
        <v>190</v>
      </c>
      <c r="AU15" s="39">
        <f t="shared" si="1"/>
        <v>41.85022026431718</v>
      </c>
      <c r="AV15" s="7">
        <v>471</v>
      </c>
      <c r="AW15" s="25">
        <f t="shared" si="2"/>
        <v>274</v>
      </c>
      <c r="AX15" s="32">
        <f t="shared" si="38"/>
        <v>58.174097664543524</v>
      </c>
      <c r="AY15" s="25">
        <v>197</v>
      </c>
      <c r="AZ15" s="39">
        <f t="shared" si="3"/>
        <v>41.825902335456476</v>
      </c>
      <c r="BA15" s="7">
        <v>474</v>
      </c>
      <c r="BB15" s="25">
        <f t="shared" si="4"/>
        <v>274</v>
      </c>
      <c r="BC15" s="32">
        <f t="shared" si="39"/>
        <v>57.805907172995781</v>
      </c>
      <c r="BD15" s="25">
        <v>200</v>
      </c>
      <c r="BE15" s="39">
        <f t="shared" si="5"/>
        <v>42.194092827004219</v>
      </c>
      <c r="BF15" s="7">
        <v>453</v>
      </c>
      <c r="BG15" s="25">
        <f t="shared" si="6"/>
        <v>247</v>
      </c>
      <c r="BH15" s="32">
        <f t="shared" si="40"/>
        <v>54.525386313465781</v>
      </c>
      <c r="BI15" s="25">
        <v>206</v>
      </c>
      <c r="BJ15" s="39">
        <f t="shared" si="7"/>
        <v>45.474613686534219</v>
      </c>
      <c r="BK15" s="7">
        <v>371</v>
      </c>
      <c r="BL15" s="25">
        <f t="shared" si="8"/>
        <v>191</v>
      </c>
      <c r="BM15" s="32">
        <f t="shared" si="41"/>
        <v>51.482479784366575</v>
      </c>
      <c r="BN15" s="25">
        <v>180</v>
      </c>
      <c r="BO15" s="39">
        <f t="shared" si="9"/>
        <v>48.517520215633425</v>
      </c>
      <c r="BP15" s="7"/>
      <c r="BQ15" s="25">
        <f t="shared" si="10"/>
        <v>0</v>
      </c>
      <c r="BR15" s="32" t="e">
        <f t="shared" si="42"/>
        <v>#DIV/0!</v>
      </c>
      <c r="BS15" s="25"/>
      <c r="BT15" s="39" t="e">
        <f t="shared" si="11"/>
        <v>#DIV/0!</v>
      </c>
    </row>
    <row r="16" spans="1:72" ht="25.2" customHeight="1" x14ac:dyDescent="0.25">
      <c r="A16" s="7">
        <f t="shared" si="12"/>
        <v>7</v>
      </c>
      <c r="B16" s="12" t="s">
        <v>14</v>
      </c>
      <c r="C16" s="7">
        <v>554</v>
      </c>
      <c r="D16" s="25">
        <f t="shared" si="13"/>
        <v>291</v>
      </c>
      <c r="E16" s="32">
        <f t="shared" si="14"/>
        <v>52.527075812274369</v>
      </c>
      <c r="F16" s="25">
        <v>263</v>
      </c>
      <c r="G16" s="35">
        <f t="shared" si="15"/>
        <v>47.472924187725631</v>
      </c>
      <c r="H16" s="7">
        <v>556</v>
      </c>
      <c r="I16" s="25">
        <f t="shared" si="16"/>
        <v>304</v>
      </c>
      <c r="J16" s="32">
        <f t="shared" si="17"/>
        <v>54.676258992805757</v>
      </c>
      <c r="K16" s="25">
        <v>252</v>
      </c>
      <c r="L16" s="37">
        <f t="shared" si="18"/>
        <v>45.323741007194243</v>
      </c>
      <c r="M16" s="7">
        <v>559</v>
      </c>
      <c r="N16" s="25">
        <f t="shared" si="19"/>
        <v>303</v>
      </c>
      <c r="O16" s="32">
        <f t="shared" si="20"/>
        <v>54.203935599284435</v>
      </c>
      <c r="P16" s="25">
        <v>256</v>
      </c>
      <c r="Q16" s="37">
        <f t="shared" si="21"/>
        <v>45.796064400715565</v>
      </c>
      <c r="R16" s="7" t="e">
        <f>Grundtabelle!#REF!</f>
        <v>#REF!</v>
      </c>
      <c r="S16" s="25" t="e">
        <f t="shared" si="22"/>
        <v>#REF!</v>
      </c>
      <c r="T16" s="32" t="e">
        <f t="shared" si="23"/>
        <v>#REF!</v>
      </c>
      <c r="U16" s="25" t="e">
        <f>Grundtabelle!#REF!</f>
        <v>#REF!</v>
      </c>
      <c r="V16" s="37" t="e">
        <f t="shared" si="24"/>
        <v>#REF!</v>
      </c>
      <c r="W16" s="7" t="e">
        <f>Grundtabelle!#REF!</f>
        <v>#REF!</v>
      </c>
      <c r="X16" s="25" t="e">
        <f t="shared" si="25"/>
        <v>#REF!</v>
      </c>
      <c r="Y16" s="32" t="e">
        <f t="shared" si="26"/>
        <v>#REF!</v>
      </c>
      <c r="Z16" s="25" t="e">
        <f>Grundtabelle!#REF!</f>
        <v>#REF!</v>
      </c>
      <c r="AA16" s="37" t="e">
        <f t="shared" si="27"/>
        <v>#REF!</v>
      </c>
      <c r="AB16" s="7" t="e">
        <f>Grundtabelle!#REF!</f>
        <v>#REF!</v>
      </c>
      <c r="AC16" s="25" t="e">
        <f t="shared" si="28"/>
        <v>#REF!</v>
      </c>
      <c r="AD16" s="32" t="e">
        <f t="shared" si="29"/>
        <v>#REF!</v>
      </c>
      <c r="AE16" s="25" t="e">
        <f>Grundtabelle!#REF!</f>
        <v>#REF!</v>
      </c>
      <c r="AF16" s="39" t="e">
        <f t="shared" si="30"/>
        <v>#REF!</v>
      </c>
      <c r="AG16" s="7">
        <v>589</v>
      </c>
      <c r="AH16" s="25">
        <f t="shared" si="31"/>
        <v>335</v>
      </c>
      <c r="AI16" s="32">
        <f t="shared" si="32"/>
        <v>56.876061120543291</v>
      </c>
      <c r="AJ16" s="25">
        <v>254</v>
      </c>
      <c r="AK16" s="39">
        <f t="shared" si="33"/>
        <v>43.123938879456709</v>
      </c>
      <c r="AL16" s="7">
        <v>627</v>
      </c>
      <c r="AM16" s="25">
        <f t="shared" si="34"/>
        <v>351</v>
      </c>
      <c r="AN16" s="32">
        <f t="shared" si="35"/>
        <v>55.980861244019138</v>
      </c>
      <c r="AO16" s="25">
        <v>276</v>
      </c>
      <c r="AP16" s="39">
        <f t="shared" si="0"/>
        <v>44.019138755980862</v>
      </c>
      <c r="AQ16" s="7">
        <v>659</v>
      </c>
      <c r="AR16" s="25">
        <f t="shared" si="36"/>
        <v>371</v>
      </c>
      <c r="AS16" s="32">
        <f t="shared" si="37"/>
        <v>56.297420333839149</v>
      </c>
      <c r="AT16" s="25">
        <v>288</v>
      </c>
      <c r="AU16" s="39">
        <f t="shared" si="1"/>
        <v>43.702579666160851</v>
      </c>
      <c r="AV16" s="7">
        <v>670</v>
      </c>
      <c r="AW16" s="25">
        <f t="shared" si="2"/>
        <v>373</v>
      </c>
      <c r="AX16" s="32">
        <f t="shared" si="38"/>
        <v>55.671641791044777</v>
      </c>
      <c r="AY16" s="25">
        <v>297</v>
      </c>
      <c r="AZ16" s="39">
        <f t="shared" si="3"/>
        <v>44.328358208955223</v>
      </c>
      <c r="BA16" s="7">
        <v>685</v>
      </c>
      <c r="BB16" s="25">
        <f t="shared" si="4"/>
        <v>376</v>
      </c>
      <c r="BC16" s="32">
        <f t="shared" si="39"/>
        <v>54.89051094890511</v>
      </c>
      <c r="BD16" s="25">
        <v>309</v>
      </c>
      <c r="BE16" s="39">
        <f t="shared" si="5"/>
        <v>45.10948905109489</v>
      </c>
      <c r="BF16" s="7">
        <v>684</v>
      </c>
      <c r="BG16" s="25">
        <f t="shared" si="6"/>
        <v>354</v>
      </c>
      <c r="BH16" s="32">
        <f t="shared" si="40"/>
        <v>51.754385964912281</v>
      </c>
      <c r="BI16" s="25">
        <v>330</v>
      </c>
      <c r="BJ16" s="39">
        <f t="shared" si="7"/>
        <v>48.245614035087719</v>
      </c>
      <c r="BK16" s="7">
        <v>664</v>
      </c>
      <c r="BL16" s="25">
        <f t="shared" si="8"/>
        <v>331</v>
      </c>
      <c r="BM16" s="32">
        <f t="shared" si="41"/>
        <v>49.849397590361448</v>
      </c>
      <c r="BN16" s="25">
        <v>333</v>
      </c>
      <c r="BO16" s="39">
        <f t="shared" si="9"/>
        <v>50.150602409638552</v>
      </c>
      <c r="BP16" s="7"/>
      <c r="BQ16" s="25">
        <f t="shared" si="10"/>
        <v>0</v>
      </c>
      <c r="BR16" s="32" t="e">
        <f t="shared" si="42"/>
        <v>#DIV/0!</v>
      </c>
      <c r="BS16" s="25"/>
      <c r="BT16" s="39" t="e">
        <f t="shared" si="11"/>
        <v>#DIV/0!</v>
      </c>
    </row>
    <row r="17" spans="1:72" ht="25.2" customHeight="1" x14ac:dyDescent="0.25">
      <c r="A17" s="7">
        <f t="shared" si="12"/>
        <v>8</v>
      </c>
      <c r="B17" s="13" t="s">
        <v>16</v>
      </c>
      <c r="C17" s="7">
        <v>419</v>
      </c>
      <c r="D17" s="25">
        <f t="shared" si="13"/>
        <v>216</v>
      </c>
      <c r="E17" s="32">
        <f t="shared" si="14"/>
        <v>51.551312649164679</v>
      </c>
      <c r="F17" s="25">
        <v>203</v>
      </c>
      <c r="G17" s="35">
        <f t="shared" si="15"/>
        <v>48.448687350835321</v>
      </c>
      <c r="H17" s="7">
        <v>475</v>
      </c>
      <c r="I17" s="25">
        <f t="shared" si="16"/>
        <v>258</v>
      </c>
      <c r="J17" s="32">
        <f t="shared" si="17"/>
        <v>54.315789473684212</v>
      </c>
      <c r="K17" s="25">
        <v>217</v>
      </c>
      <c r="L17" s="37">
        <f t="shared" si="18"/>
        <v>45.684210526315788</v>
      </c>
      <c r="M17" s="7">
        <v>473</v>
      </c>
      <c r="N17" s="25">
        <f t="shared" si="19"/>
        <v>261</v>
      </c>
      <c r="O17" s="32">
        <f t="shared" si="20"/>
        <v>55.17970401691332</v>
      </c>
      <c r="P17" s="25">
        <v>212</v>
      </c>
      <c r="Q17" s="37">
        <f t="shared" si="21"/>
        <v>44.82029598308668</v>
      </c>
      <c r="R17" s="7" t="e">
        <f>Grundtabelle!#REF!</f>
        <v>#REF!</v>
      </c>
      <c r="S17" s="25" t="e">
        <f t="shared" si="22"/>
        <v>#REF!</v>
      </c>
      <c r="T17" s="32" t="e">
        <f t="shared" si="23"/>
        <v>#REF!</v>
      </c>
      <c r="U17" s="25" t="e">
        <f>Grundtabelle!#REF!</f>
        <v>#REF!</v>
      </c>
      <c r="V17" s="37" t="e">
        <f t="shared" si="24"/>
        <v>#REF!</v>
      </c>
      <c r="W17" s="7" t="e">
        <f>Grundtabelle!#REF!</f>
        <v>#REF!</v>
      </c>
      <c r="X17" s="25" t="e">
        <f t="shared" si="25"/>
        <v>#REF!</v>
      </c>
      <c r="Y17" s="32" t="e">
        <f t="shared" si="26"/>
        <v>#REF!</v>
      </c>
      <c r="Z17" s="25" t="e">
        <f>Grundtabelle!#REF!</f>
        <v>#REF!</v>
      </c>
      <c r="AA17" s="37" t="e">
        <f t="shared" si="27"/>
        <v>#REF!</v>
      </c>
      <c r="AB17" s="7" t="e">
        <f>Grundtabelle!#REF!</f>
        <v>#REF!</v>
      </c>
      <c r="AC17" s="25" t="e">
        <f t="shared" si="28"/>
        <v>#REF!</v>
      </c>
      <c r="AD17" s="32" t="e">
        <f t="shared" si="29"/>
        <v>#REF!</v>
      </c>
      <c r="AE17" s="25" t="e">
        <f>Grundtabelle!#REF!</f>
        <v>#REF!</v>
      </c>
      <c r="AF17" s="39" t="e">
        <f t="shared" si="30"/>
        <v>#REF!</v>
      </c>
      <c r="AG17" s="7">
        <v>369</v>
      </c>
      <c r="AH17" s="25">
        <f t="shared" si="31"/>
        <v>210</v>
      </c>
      <c r="AI17" s="32">
        <f t="shared" si="32"/>
        <v>56.91056910569106</v>
      </c>
      <c r="AJ17" s="25">
        <v>159</v>
      </c>
      <c r="AK17" s="39">
        <f t="shared" si="33"/>
        <v>43.08943089430894</v>
      </c>
      <c r="AL17" s="7">
        <v>340</v>
      </c>
      <c r="AM17" s="25">
        <f t="shared" si="34"/>
        <v>191</v>
      </c>
      <c r="AN17" s="32">
        <f t="shared" si="35"/>
        <v>56.176470588235297</v>
      </c>
      <c r="AO17" s="25">
        <v>149</v>
      </c>
      <c r="AP17" s="39">
        <f t="shared" si="0"/>
        <v>43.823529411764703</v>
      </c>
      <c r="AQ17" s="7">
        <v>311</v>
      </c>
      <c r="AR17" s="25">
        <f t="shared" si="36"/>
        <v>183</v>
      </c>
      <c r="AS17" s="32">
        <f t="shared" si="37"/>
        <v>58.842443729903536</v>
      </c>
      <c r="AT17" s="25">
        <v>128</v>
      </c>
      <c r="AU17" s="39">
        <f t="shared" si="1"/>
        <v>41.157556270096464</v>
      </c>
      <c r="AV17" s="7">
        <v>313</v>
      </c>
      <c r="AW17" s="25">
        <f t="shared" si="2"/>
        <v>184</v>
      </c>
      <c r="AX17" s="32">
        <f t="shared" si="38"/>
        <v>58.785942492012779</v>
      </c>
      <c r="AY17" s="25">
        <v>129</v>
      </c>
      <c r="AZ17" s="39">
        <f t="shared" si="3"/>
        <v>41.214057507987221</v>
      </c>
      <c r="BA17" s="7">
        <v>302</v>
      </c>
      <c r="BB17" s="25">
        <f t="shared" si="4"/>
        <v>177</v>
      </c>
      <c r="BC17" s="32">
        <f t="shared" si="39"/>
        <v>58.609271523178805</v>
      </c>
      <c r="BD17" s="25">
        <v>125</v>
      </c>
      <c r="BE17" s="39">
        <f t="shared" si="5"/>
        <v>41.390728476821195</v>
      </c>
      <c r="BF17" s="7">
        <v>309</v>
      </c>
      <c r="BG17" s="25">
        <f t="shared" si="6"/>
        <v>181</v>
      </c>
      <c r="BH17" s="32">
        <f t="shared" si="40"/>
        <v>58.576051779935277</v>
      </c>
      <c r="BI17" s="25">
        <v>128</v>
      </c>
      <c r="BJ17" s="39">
        <f t="shared" si="7"/>
        <v>41.423948220064723</v>
      </c>
      <c r="BK17" s="7">
        <v>272</v>
      </c>
      <c r="BL17" s="25">
        <f t="shared" si="8"/>
        <v>161</v>
      </c>
      <c r="BM17" s="32">
        <f t="shared" si="41"/>
        <v>59.191176470588232</v>
      </c>
      <c r="BN17" s="25">
        <v>111</v>
      </c>
      <c r="BO17" s="39">
        <f t="shared" si="9"/>
        <v>40.808823529411768</v>
      </c>
      <c r="BP17" s="7"/>
      <c r="BQ17" s="25">
        <f t="shared" si="10"/>
        <v>0</v>
      </c>
      <c r="BR17" s="32" t="e">
        <f t="shared" si="42"/>
        <v>#DIV/0!</v>
      </c>
      <c r="BS17" s="25"/>
      <c r="BT17" s="39" t="e">
        <f t="shared" si="11"/>
        <v>#DIV/0!</v>
      </c>
    </row>
    <row r="18" spans="1:72" ht="25.2" customHeight="1" thickBot="1" x14ac:dyDescent="0.3">
      <c r="A18" s="8">
        <f t="shared" si="12"/>
        <v>9</v>
      </c>
      <c r="B18" s="14" t="s">
        <v>17</v>
      </c>
      <c r="C18" s="8">
        <v>539</v>
      </c>
      <c r="D18" s="26">
        <f t="shared" si="13"/>
        <v>273</v>
      </c>
      <c r="E18" s="33">
        <f t="shared" si="14"/>
        <v>50.649350649350652</v>
      </c>
      <c r="F18" s="26">
        <v>266</v>
      </c>
      <c r="G18" s="36">
        <f t="shared" si="15"/>
        <v>49.350649350649348</v>
      </c>
      <c r="H18" s="8">
        <v>547</v>
      </c>
      <c r="I18" s="26">
        <f t="shared" si="16"/>
        <v>270</v>
      </c>
      <c r="J18" s="33">
        <f t="shared" si="17"/>
        <v>49.36014625228519</v>
      </c>
      <c r="K18" s="26">
        <v>277</v>
      </c>
      <c r="L18" s="38">
        <f t="shared" si="18"/>
        <v>50.63985374771481</v>
      </c>
      <c r="M18" s="8">
        <v>536</v>
      </c>
      <c r="N18" s="26">
        <f t="shared" si="19"/>
        <v>264</v>
      </c>
      <c r="O18" s="33">
        <f t="shared" si="20"/>
        <v>49.253731343283583</v>
      </c>
      <c r="P18" s="26">
        <v>272</v>
      </c>
      <c r="Q18" s="38">
        <f t="shared" si="21"/>
        <v>50.746268656716417</v>
      </c>
      <c r="R18" s="8" t="e">
        <f>Grundtabelle!#REF!</f>
        <v>#REF!</v>
      </c>
      <c r="S18" s="26" t="e">
        <f t="shared" si="22"/>
        <v>#REF!</v>
      </c>
      <c r="T18" s="33" t="e">
        <f t="shared" si="23"/>
        <v>#REF!</v>
      </c>
      <c r="U18" s="26" t="e">
        <f>Grundtabelle!#REF!</f>
        <v>#REF!</v>
      </c>
      <c r="V18" s="38" t="e">
        <f t="shared" si="24"/>
        <v>#REF!</v>
      </c>
      <c r="W18" s="8" t="e">
        <f>Grundtabelle!#REF!</f>
        <v>#REF!</v>
      </c>
      <c r="X18" s="26" t="e">
        <f t="shared" si="25"/>
        <v>#REF!</v>
      </c>
      <c r="Y18" s="33" t="e">
        <f t="shared" si="26"/>
        <v>#REF!</v>
      </c>
      <c r="Z18" s="26" t="e">
        <f>Grundtabelle!#REF!</f>
        <v>#REF!</v>
      </c>
      <c r="AA18" s="38" t="e">
        <f t="shared" si="27"/>
        <v>#REF!</v>
      </c>
      <c r="AB18" s="8" t="e">
        <f>Grundtabelle!#REF!</f>
        <v>#REF!</v>
      </c>
      <c r="AC18" s="26" t="e">
        <f t="shared" si="28"/>
        <v>#REF!</v>
      </c>
      <c r="AD18" s="33" t="e">
        <f t="shared" si="29"/>
        <v>#REF!</v>
      </c>
      <c r="AE18" s="26" t="e">
        <f>Grundtabelle!#REF!</f>
        <v>#REF!</v>
      </c>
      <c r="AF18" s="40" t="e">
        <f t="shared" si="30"/>
        <v>#REF!</v>
      </c>
      <c r="AG18" s="8">
        <v>559</v>
      </c>
      <c r="AH18" s="26">
        <f t="shared" si="31"/>
        <v>276</v>
      </c>
      <c r="AI18" s="33">
        <f t="shared" si="32"/>
        <v>49.373881932021469</v>
      </c>
      <c r="AJ18" s="26">
        <v>283</v>
      </c>
      <c r="AK18" s="40">
        <f t="shared" si="33"/>
        <v>50.626118067978531</v>
      </c>
      <c r="AL18" s="8">
        <v>534</v>
      </c>
      <c r="AM18" s="26">
        <f t="shared" si="34"/>
        <v>267</v>
      </c>
      <c r="AN18" s="33">
        <f t="shared" si="35"/>
        <v>50</v>
      </c>
      <c r="AO18" s="26">
        <v>267</v>
      </c>
      <c r="AP18" s="40">
        <f t="shared" si="0"/>
        <v>50</v>
      </c>
      <c r="AQ18" s="8">
        <v>548</v>
      </c>
      <c r="AR18" s="26">
        <f t="shared" si="36"/>
        <v>281</v>
      </c>
      <c r="AS18" s="33">
        <f t="shared" si="37"/>
        <v>51.277372262773724</v>
      </c>
      <c r="AT18" s="26">
        <v>267</v>
      </c>
      <c r="AU18" s="40">
        <f t="shared" si="1"/>
        <v>48.722627737226276</v>
      </c>
      <c r="AV18" s="8">
        <v>547</v>
      </c>
      <c r="AW18" s="26">
        <f t="shared" si="2"/>
        <v>279</v>
      </c>
      <c r="AX18" s="33">
        <f t="shared" si="38"/>
        <v>51.005484460694696</v>
      </c>
      <c r="AY18" s="26">
        <v>268</v>
      </c>
      <c r="AZ18" s="40">
        <f t="shared" si="3"/>
        <v>48.994515539305304</v>
      </c>
      <c r="BA18" s="8">
        <v>542</v>
      </c>
      <c r="BB18" s="25">
        <f t="shared" si="4"/>
        <v>286</v>
      </c>
      <c r="BC18" s="33">
        <f t="shared" si="39"/>
        <v>52.767527675276753</v>
      </c>
      <c r="BD18" s="26">
        <v>256</v>
      </c>
      <c r="BE18" s="40">
        <f t="shared" si="5"/>
        <v>47.232472324723247</v>
      </c>
      <c r="BF18" s="8">
        <v>551</v>
      </c>
      <c r="BG18" s="25">
        <f t="shared" si="6"/>
        <v>288</v>
      </c>
      <c r="BH18" s="33">
        <f t="shared" si="40"/>
        <v>52.268602540834848</v>
      </c>
      <c r="BI18" s="26">
        <v>263</v>
      </c>
      <c r="BJ18" s="40">
        <f t="shared" si="7"/>
        <v>47.731397459165152</v>
      </c>
      <c r="BK18" s="8">
        <v>560</v>
      </c>
      <c r="BL18" s="25">
        <f t="shared" si="8"/>
        <v>301</v>
      </c>
      <c r="BM18" s="33">
        <f t="shared" si="41"/>
        <v>53.75</v>
      </c>
      <c r="BN18" s="26">
        <v>259</v>
      </c>
      <c r="BO18" s="40">
        <f t="shared" si="9"/>
        <v>46.25</v>
      </c>
      <c r="BP18" s="8">
        <v>549</v>
      </c>
      <c r="BQ18" s="25">
        <f t="shared" si="10"/>
        <v>292</v>
      </c>
      <c r="BR18" s="33">
        <f t="shared" si="42"/>
        <v>53.187613843351549</v>
      </c>
      <c r="BS18" s="26">
        <v>257</v>
      </c>
      <c r="BT18" s="40">
        <f t="shared" si="11"/>
        <v>46.812386156648451</v>
      </c>
    </row>
    <row r="19" spans="1:72" ht="25.2" customHeight="1" thickBot="1" x14ac:dyDescent="0.3">
      <c r="A19" s="107" t="s">
        <v>30</v>
      </c>
      <c r="B19" s="108"/>
      <c r="C19" s="109">
        <f t="shared" ref="C19:Z19" si="43">SUM(C10:C18)</f>
        <v>4480</v>
      </c>
      <c r="D19" s="110">
        <f t="shared" si="43"/>
        <v>2320</v>
      </c>
      <c r="E19" s="111">
        <f t="shared" si="14"/>
        <v>51.785714285714285</v>
      </c>
      <c r="F19" s="112">
        <f t="shared" si="43"/>
        <v>2160</v>
      </c>
      <c r="G19" s="113">
        <f>F19*100/C19</f>
        <v>48.214285714285715</v>
      </c>
      <c r="H19" s="109">
        <f t="shared" si="43"/>
        <v>4699</v>
      </c>
      <c r="I19" s="110">
        <f t="shared" si="43"/>
        <v>2447</v>
      </c>
      <c r="J19" s="113">
        <f t="shared" si="17"/>
        <v>52.074909555224515</v>
      </c>
      <c r="K19" s="112">
        <f t="shared" si="43"/>
        <v>2252</v>
      </c>
      <c r="L19" s="113">
        <f t="shared" si="18"/>
        <v>47.925090444775485</v>
      </c>
      <c r="M19" s="109">
        <f t="shared" si="43"/>
        <v>4771</v>
      </c>
      <c r="N19" s="110">
        <f t="shared" si="43"/>
        <v>2469</v>
      </c>
      <c r="O19" s="113">
        <f t="shared" si="20"/>
        <v>51.750157199748479</v>
      </c>
      <c r="P19" s="112">
        <f t="shared" si="43"/>
        <v>2302</v>
      </c>
      <c r="Q19" s="113">
        <f t="shared" si="21"/>
        <v>48.249842800251521</v>
      </c>
      <c r="R19" s="109" t="e">
        <f t="shared" si="43"/>
        <v>#REF!</v>
      </c>
      <c r="S19" s="110" t="e">
        <f t="shared" si="43"/>
        <v>#REF!</v>
      </c>
      <c r="T19" s="113" t="e">
        <f t="shared" si="23"/>
        <v>#REF!</v>
      </c>
      <c r="U19" s="112" t="e">
        <f t="shared" si="43"/>
        <v>#REF!</v>
      </c>
      <c r="V19" s="113" t="e">
        <f t="shared" si="24"/>
        <v>#REF!</v>
      </c>
      <c r="W19" s="109" t="e">
        <f t="shared" si="43"/>
        <v>#REF!</v>
      </c>
      <c r="X19" s="110" t="e">
        <f t="shared" si="43"/>
        <v>#REF!</v>
      </c>
      <c r="Y19" s="113" t="e">
        <f t="shared" si="26"/>
        <v>#REF!</v>
      </c>
      <c r="Z19" s="112" t="e">
        <f t="shared" si="43"/>
        <v>#REF!</v>
      </c>
      <c r="AA19" s="113" t="e">
        <f t="shared" si="27"/>
        <v>#REF!</v>
      </c>
      <c r="AB19" s="109" t="e">
        <f>SUM(AB10:AB18)</f>
        <v>#REF!</v>
      </c>
      <c r="AC19" s="110" t="e">
        <f>SUM(AC10:AC18)</f>
        <v>#REF!</v>
      </c>
      <c r="AD19" s="113" t="e">
        <f t="shared" si="29"/>
        <v>#REF!</v>
      </c>
      <c r="AE19" s="112" t="e">
        <f>SUM(AE10:AE18)</f>
        <v>#REF!</v>
      </c>
      <c r="AF19" s="114" t="e">
        <f t="shared" si="30"/>
        <v>#REF!</v>
      </c>
      <c r="AG19" s="109">
        <f>SUM(AG10:AG18)</f>
        <v>4552</v>
      </c>
      <c r="AH19" s="110">
        <f>SUM(AH10:AH18)</f>
        <v>2393</v>
      </c>
      <c r="AI19" s="113">
        <f t="shared" si="32"/>
        <v>52.570298769771526</v>
      </c>
      <c r="AJ19" s="112">
        <f>SUM(AJ10:AJ18)</f>
        <v>2159</v>
      </c>
      <c r="AK19" s="114">
        <f t="shared" si="33"/>
        <v>47.429701230228474</v>
      </c>
      <c r="AL19" s="109">
        <f>SUM(AL10:AL18)</f>
        <v>4490</v>
      </c>
      <c r="AM19" s="110">
        <f>SUM(AM10:AM18)</f>
        <v>2381</v>
      </c>
      <c r="AN19" s="113">
        <f t="shared" si="35"/>
        <v>53.028953229398667</v>
      </c>
      <c r="AO19" s="112">
        <f>SUM(AO10:AO18)</f>
        <v>2109</v>
      </c>
      <c r="AP19" s="114">
        <f t="shared" si="0"/>
        <v>46.971046770601333</v>
      </c>
      <c r="AQ19" s="109">
        <f>SUM(AQ10:AQ18)</f>
        <v>4490</v>
      </c>
      <c r="AR19" s="110">
        <f>SUM(AR10:AR18)</f>
        <v>2433</v>
      </c>
      <c r="AS19" s="113">
        <f t="shared" si="37"/>
        <v>54.187082405345208</v>
      </c>
      <c r="AT19" s="112">
        <f>SUM(AT10:AT18)</f>
        <v>2057</v>
      </c>
      <c r="AU19" s="114">
        <f t="shared" si="1"/>
        <v>45.812917594654792</v>
      </c>
      <c r="AV19" s="109">
        <f>SUM(AV10:AV18)</f>
        <v>4415</v>
      </c>
      <c r="AW19" s="110">
        <f>SUM(AW10:AW18)</f>
        <v>2405</v>
      </c>
      <c r="AX19" s="113">
        <f t="shared" si="38"/>
        <v>54.473386183465458</v>
      </c>
      <c r="AY19" s="112">
        <f>SUM(AY10:AY18)</f>
        <v>2010</v>
      </c>
      <c r="AZ19" s="114">
        <f t="shared" si="3"/>
        <v>45.526613816534542</v>
      </c>
      <c r="BA19" s="109">
        <f>SUM(BA10:BA18)</f>
        <v>4433</v>
      </c>
      <c r="BB19" s="110">
        <f>SUM(BB10:BB18)</f>
        <v>2422</v>
      </c>
      <c r="BC19" s="113">
        <f t="shared" si="39"/>
        <v>54.635686893751412</v>
      </c>
      <c r="BD19" s="112">
        <f>SUM(BD10:BD18)</f>
        <v>2011</v>
      </c>
      <c r="BE19" s="114">
        <f t="shared" si="5"/>
        <v>45.364313106248588</v>
      </c>
      <c r="BF19" s="109">
        <f>SUM(BF10:BF18)</f>
        <v>4433</v>
      </c>
      <c r="BG19" s="110">
        <f>SUM(BG10:BG18)</f>
        <v>2354</v>
      </c>
      <c r="BH19" s="113">
        <f t="shared" si="40"/>
        <v>53.101736972704714</v>
      </c>
      <c r="BI19" s="112">
        <f>SUM(BI10:BI18)</f>
        <v>2079</v>
      </c>
      <c r="BJ19" s="114">
        <f t="shared" si="7"/>
        <v>46.898263027295286</v>
      </c>
      <c r="BK19" s="109">
        <f>SUM(BK10:BK18)</f>
        <v>4279</v>
      </c>
      <c r="BL19" s="110">
        <f>SUM(BL10:BL18)</f>
        <v>2287</v>
      </c>
      <c r="BM19" s="113">
        <f t="shared" si="41"/>
        <v>53.447067071745735</v>
      </c>
      <c r="BN19" s="112">
        <f>SUM(BN10:BN18)</f>
        <v>1992</v>
      </c>
      <c r="BO19" s="114">
        <f t="shared" si="9"/>
        <v>46.552932928254265</v>
      </c>
      <c r="BP19" s="109">
        <f>SUM(BP10:BP18)</f>
        <v>1059</v>
      </c>
      <c r="BQ19" s="110">
        <f>SUM(BQ10:BQ18)</f>
        <v>568</v>
      </c>
      <c r="BR19" s="113">
        <f t="shared" si="42"/>
        <v>53.635505193578851</v>
      </c>
      <c r="BS19" s="112">
        <f>SUM(BS10:BS18)</f>
        <v>491</v>
      </c>
      <c r="BT19" s="114">
        <f t="shared" si="11"/>
        <v>46.364494806421149</v>
      </c>
    </row>
    <row r="20" spans="1:72" s="9" customFormat="1" x14ac:dyDescent="0.25">
      <c r="B20" s="10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72" s="41" customFormat="1" ht="11.4" x14ac:dyDescent="0.25">
      <c r="A21" s="41" t="s">
        <v>38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72" s="9" customFormat="1" x14ac:dyDescent="0.25">
      <c r="B22" s="10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72" s="9" customFormat="1" x14ac:dyDescent="0.25">
      <c r="B23" s="10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72" s="9" customFormat="1" x14ac:dyDescent="0.25">
      <c r="B24" s="10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72" s="9" customFormat="1" x14ac:dyDescent="0.25">
      <c r="B25" s="10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72" s="9" customFormat="1" x14ac:dyDescent="0.25">
      <c r="B26" s="10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72" s="9" customFormat="1" x14ac:dyDescent="0.25">
      <c r="B27" s="10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72" s="9" customFormat="1" x14ac:dyDescent="0.25">
      <c r="B28" s="10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72" s="9" customFormat="1" x14ac:dyDescent="0.25">
      <c r="B29" s="10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72" s="9" customFormat="1" x14ac:dyDescent="0.25">
      <c r="B30" s="10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72" s="9" customFormat="1" x14ac:dyDescent="0.25">
      <c r="B31" s="10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72" s="9" customFormat="1" x14ac:dyDescent="0.25">
      <c r="B32" s="10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2:42" s="9" customFormat="1" x14ac:dyDescent="0.25">
      <c r="B33" s="10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2:42" s="9" customFormat="1" x14ac:dyDescent="0.25">
      <c r="B34" s="10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2:42" s="9" customFormat="1" x14ac:dyDescent="0.25">
      <c r="B35" s="10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2:42" s="9" customFormat="1" x14ac:dyDescent="0.25">
      <c r="B36" s="10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2:42" s="9" customFormat="1" x14ac:dyDescent="0.25">
      <c r="B37" s="10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2:42" s="9" customFormat="1" x14ac:dyDescent="0.25">
      <c r="B38" s="10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2:42" s="9" customFormat="1" x14ac:dyDescent="0.25">
      <c r="B39" s="10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2:42" s="9" customFormat="1" x14ac:dyDescent="0.25">
      <c r="B40" s="10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2:42" s="9" customFormat="1" x14ac:dyDescent="0.25">
      <c r="B41" s="10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2:42" s="9" customFormat="1" x14ac:dyDescent="0.25">
      <c r="B42" s="10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2:42" s="9" customFormat="1" x14ac:dyDescent="0.25">
      <c r="B43" s="10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2:42" s="9" customFormat="1" x14ac:dyDescent="0.25">
      <c r="B44" s="10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2:42" s="9" customFormat="1" x14ac:dyDescent="0.25">
      <c r="B45" s="10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2:42" s="9" customFormat="1" x14ac:dyDescent="0.25">
      <c r="B46" s="10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2:42" s="9" customFormat="1" x14ac:dyDescent="0.25">
      <c r="B47" s="10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2:42" s="9" customFormat="1" x14ac:dyDescent="0.25">
      <c r="B48" s="10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2:42" s="9" customFormat="1" x14ac:dyDescent="0.25">
      <c r="B49" s="10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2:42" s="9" customFormat="1" x14ac:dyDescent="0.25">
      <c r="B50" s="10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2:42" s="9" customFormat="1" x14ac:dyDescent="0.25">
      <c r="B51" s="10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2:42" s="9" customFormat="1" x14ac:dyDescent="0.25">
      <c r="B52" s="10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2:42" s="9" customFormat="1" x14ac:dyDescent="0.25">
      <c r="B53" s="10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2:42" s="9" customFormat="1" x14ac:dyDescent="0.25">
      <c r="B54" s="10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2:42" s="9" customFormat="1" x14ac:dyDescent="0.25">
      <c r="B55" s="10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</row>
    <row r="56" spans="2:42" s="9" customFormat="1" x14ac:dyDescent="0.25">
      <c r="B56" s="10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2:42" s="9" customFormat="1" x14ac:dyDescent="0.25">
      <c r="B57" s="10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  <row r="58" spans="2:42" s="9" customFormat="1" x14ac:dyDescent="0.25">
      <c r="B58" s="10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</row>
    <row r="59" spans="2:42" s="9" customFormat="1" x14ac:dyDescent="0.25">
      <c r="B59" s="10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2:42" s="9" customFormat="1" x14ac:dyDescent="0.25">
      <c r="B60" s="10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2:42" s="9" customFormat="1" x14ac:dyDescent="0.25">
      <c r="B61" s="10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2:42" s="9" customFormat="1" x14ac:dyDescent="0.25">
      <c r="B62" s="10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2:42" s="9" customFormat="1" x14ac:dyDescent="0.25">
      <c r="B63" s="10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2:42" s="9" customFormat="1" x14ac:dyDescent="0.25">
      <c r="B64" s="10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2:42" s="9" customFormat="1" x14ac:dyDescent="0.25">
      <c r="B65" s="10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2:42" s="9" customFormat="1" x14ac:dyDescent="0.25">
      <c r="B66" s="10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</row>
    <row r="67" spans="2:42" s="9" customFormat="1" x14ac:dyDescent="0.25">
      <c r="B67" s="10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</row>
    <row r="68" spans="2:42" s="9" customFormat="1" x14ac:dyDescent="0.25">
      <c r="B68" s="10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2:42" s="9" customFormat="1" x14ac:dyDescent="0.25">
      <c r="B69" s="10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spans="2:42" s="9" customFormat="1" x14ac:dyDescent="0.25">
      <c r="B70" s="10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2:42" s="9" customFormat="1" x14ac:dyDescent="0.25">
      <c r="B71" s="10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2:42" s="9" customFormat="1" x14ac:dyDescent="0.25">
      <c r="B72" s="10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2:42" s="9" customFormat="1" x14ac:dyDescent="0.25">
      <c r="B73" s="10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</row>
    <row r="74" spans="2:42" s="9" customFormat="1" x14ac:dyDescent="0.25">
      <c r="B74" s="10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2:42" s="9" customFormat="1" x14ac:dyDescent="0.25">
      <c r="B75" s="10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2:42" s="9" customFormat="1" x14ac:dyDescent="0.25">
      <c r="B76" s="10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spans="2:42" s="9" customFormat="1" x14ac:dyDescent="0.25">
      <c r="B77" s="10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spans="2:42" s="9" customFormat="1" x14ac:dyDescent="0.25">
      <c r="B78" s="10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</row>
    <row r="79" spans="2:42" s="9" customFormat="1" x14ac:dyDescent="0.25">
      <c r="B79" s="10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</row>
    <row r="80" spans="2:42" s="9" customFormat="1" x14ac:dyDescent="0.25">
      <c r="B80" s="10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2:42" s="9" customFormat="1" x14ac:dyDescent="0.25">
      <c r="B81" s="10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2:42" s="9" customFormat="1" x14ac:dyDescent="0.25">
      <c r="B82" s="10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2:42" s="9" customFormat="1" x14ac:dyDescent="0.25">
      <c r="B83" s="10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2:42" s="9" customFormat="1" x14ac:dyDescent="0.25">
      <c r="B84" s="10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2:42" s="9" customFormat="1" x14ac:dyDescent="0.25">
      <c r="B85" s="10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spans="2:42" s="9" customFormat="1" x14ac:dyDescent="0.25">
      <c r="B86" s="10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</row>
    <row r="87" spans="2:42" s="9" customFormat="1" x14ac:dyDescent="0.25">
      <c r="B87" s="10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  <row r="88" spans="2:42" s="9" customFormat="1" x14ac:dyDescent="0.25">
      <c r="B88" s="10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</row>
    <row r="89" spans="2:42" s="9" customFormat="1" x14ac:dyDescent="0.25">
      <c r="B89" s="10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</row>
    <row r="90" spans="2:42" s="9" customFormat="1" x14ac:dyDescent="0.25">
      <c r="B90" s="10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</row>
    <row r="91" spans="2:42" s="9" customFormat="1" x14ac:dyDescent="0.25">
      <c r="B91" s="10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</row>
    <row r="92" spans="2:42" s="9" customFormat="1" x14ac:dyDescent="0.25">
      <c r="B92" s="10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</row>
    <row r="93" spans="2:42" s="9" customFormat="1" x14ac:dyDescent="0.25">
      <c r="B93" s="10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</row>
    <row r="94" spans="2:42" s="9" customFormat="1" x14ac:dyDescent="0.25">
      <c r="B94" s="10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</row>
    <row r="95" spans="2:42" s="9" customFormat="1" x14ac:dyDescent="0.25">
      <c r="B95" s="10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</row>
    <row r="96" spans="2:42" s="9" customFormat="1" x14ac:dyDescent="0.25">
      <c r="B96" s="10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</row>
    <row r="97" spans="2:42" s="9" customFormat="1" x14ac:dyDescent="0.25">
      <c r="B97" s="10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</row>
    <row r="98" spans="2:42" s="9" customFormat="1" x14ac:dyDescent="0.25">
      <c r="B98" s="10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</row>
    <row r="99" spans="2:42" s="9" customFormat="1" x14ac:dyDescent="0.25">
      <c r="B99" s="10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</row>
    <row r="100" spans="2:42" s="9" customFormat="1" x14ac:dyDescent="0.25">
      <c r="B100" s="10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</row>
    <row r="101" spans="2:42" s="9" customFormat="1" x14ac:dyDescent="0.25">
      <c r="B101" s="10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</row>
    <row r="102" spans="2:42" s="9" customFormat="1" x14ac:dyDescent="0.25">
      <c r="B102" s="10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</row>
    <row r="103" spans="2:42" s="9" customFormat="1" x14ac:dyDescent="0.25">
      <c r="B103" s="10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</row>
    <row r="104" spans="2:42" s="9" customFormat="1" x14ac:dyDescent="0.25">
      <c r="B104" s="10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</row>
    <row r="105" spans="2:42" s="9" customFormat="1" x14ac:dyDescent="0.25">
      <c r="B105" s="10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</row>
    <row r="106" spans="2:42" s="9" customFormat="1" x14ac:dyDescent="0.25">
      <c r="B106" s="10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</row>
    <row r="107" spans="2:42" s="9" customFormat="1" x14ac:dyDescent="0.25">
      <c r="B107" s="10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</row>
    <row r="108" spans="2:42" s="9" customFormat="1" x14ac:dyDescent="0.25">
      <c r="B108" s="10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</row>
    <row r="109" spans="2:42" s="9" customFormat="1" x14ac:dyDescent="0.25">
      <c r="B109" s="10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</row>
    <row r="110" spans="2:42" s="9" customFormat="1" x14ac:dyDescent="0.25">
      <c r="B110" s="10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</row>
    <row r="111" spans="2:42" s="9" customFormat="1" x14ac:dyDescent="0.25">
      <c r="B111" s="10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</row>
    <row r="112" spans="2:42" s="9" customFormat="1" x14ac:dyDescent="0.25">
      <c r="B112" s="10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</row>
    <row r="113" spans="2:42" s="9" customFormat="1" x14ac:dyDescent="0.25">
      <c r="B113" s="10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</row>
    <row r="114" spans="2:42" s="9" customFormat="1" x14ac:dyDescent="0.25">
      <c r="B114" s="10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</row>
    <row r="115" spans="2:42" s="9" customFormat="1" x14ac:dyDescent="0.25">
      <c r="B115" s="10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</row>
    <row r="116" spans="2:42" s="9" customFormat="1" x14ac:dyDescent="0.25">
      <c r="B116" s="10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</row>
    <row r="117" spans="2:42" s="9" customFormat="1" x14ac:dyDescent="0.25">
      <c r="B117" s="10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</row>
    <row r="118" spans="2:42" s="9" customFormat="1" x14ac:dyDescent="0.25">
      <c r="B118" s="10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</row>
    <row r="119" spans="2:42" s="9" customFormat="1" x14ac:dyDescent="0.25">
      <c r="B119" s="10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</row>
    <row r="120" spans="2:42" s="9" customFormat="1" x14ac:dyDescent="0.25">
      <c r="B120" s="10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</row>
    <row r="121" spans="2:42" s="9" customFormat="1" x14ac:dyDescent="0.25">
      <c r="B121" s="10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</row>
    <row r="122" spans="2:42" s="9" customFormat="1" x14ac:dyDescent="0.25">
      <c r="B122" s="10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</row>
    <row r="123" spans="2:42" s="9" customFormat="1" x14ac:dyDescent="0.25">
      <c r="B123" s="10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</row>
    <row r="124" spans="2:42" s="9" customFormat="1" x14ac:dyDescent="0.25">
      <c r="B124" s="10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</row>
    <row r="125" spans="2:42" s="9" customFormat="1" x14ac:dyDescent="0.25">
      <c r="B125" s="10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</row>
    <row r="126" spans="2:42" s="9" customFormat="1" x14ac:dyDescent="0.25">
      <c r="B126" s="10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</row>
    <row r="127" spans="2:42" s="9" customFormat="1" x14ac:dyDescent="0.25">
      <c r="B127" s="10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</row>
    <row r="128" spans="2:42" s="9" customFormat="1" x14ac:dyDescent="0.25">
      <c r="B128" s="10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</row>
    <row r="129" spans="2:42" s="9" customFormat="1" x14ac:dyDescent="0.25">
      <c r="B129" s="10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</row>
    <row r="130" spans="2:42" s="9" customFormat="1" x14ac:dyDescent="0.25">
      <c r="B130" s="10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</row>
    <row r="131" spans="2:42" s="9" customFormat="1" x14ac:dyDescent="0.25">
      <c r="B131" s="10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</row>
    <row r="132" spans="2:42" s="9" customFormat="1" x14ac:dyDescent="0.25">
      <c r="B132" s="10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</row>
    <row r="133" spans="2:42" s="9" customFormat="1" x14ac:dyDescent="0.25">
      <c r="B133" s="10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</row>
    <row r="134" spans="2:42" s="9" customFormat="1" x14ac:dyDescent="0.25">
      <c r="B134" s="10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</row>
    <row r="135" spans="2:42" s="9" customFormat="1" x14ac:dyDescent="0.25">
      <c r="B135" s="10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</row>
    <row r="136" spans="2:42" s="9" customFormat="1" x14ac:dyDescent="0.25">
      <c r="B136" s="10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</row>
    <row r="137" spans="2:42" s="9" customFormat="1" x14ac:dyDescent="0.25">
      <c r="B137" s="10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</row>
    <row r="138" spans="2:42" s="9" customFormat="1" x14ac:dyDescent="0.25">
      <c r="B138" s="10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</row>
    <row r="139" spans="2:42" s="9" customFormat="1" x14ac:dyDescent="0.25">
      <c r="B139" s="10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</row>
    <row r="140" spans="2:42" s="9" customFormat="1" x14ac:dyDescent="0.25">
      <c r="B140" s="10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</row>
    <row r="141" spans="2:42" s="9" customFormat="1" x14ac:dyDescent="0.25">
      <c r="B141" s="10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</row>
    <row r="142" spans="2:42" s="9" customFormat="1" x14ac:dyDescent="0.25">
      <c r="B142" s="10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</row>
    <row r="143" spans="2:42" s="9" customFormat="1" x14ac:dyDescent="0.25">
      <c r="B143" s="10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</row>
    <row r="144" spans="2:42" s="9" customFormat="1" x14ac:dyDescent="0.25">
      <c r="B144" s="10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</row>
    <row r="145" spans="2:42" s="9" customFormat="1" x14ac:dyDescent="0.25">
      <c r="B145" s="10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</row>
    <row r="146" spans="2:42" s="9" customFormat="1" x14ac:dyDescent="0.25">
      <c r="B146" s="10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</row>
    <row r="147" spans="2:42" s="9" customFormat="1" x14ac:dyDescent="0.25">
      <c r="B147" s="10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</row>
    <row r="148" spans="2:42" s="9" customFormat="1" x14ac:dyDescent="0.25">
      <c r="B148" s="10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</row>
    <row r="149" spans="2:42" s="9" customFormat="1" x14ac:dyDescent="0.25">
      <c r="B149" s="10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</row>
    <row r="150" spans="2:42" s="9" customFormat="1" x14ac:dyDescent="0.25">
      <c r="B150" s="10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</row>
    <row r="151" spans="2:42" s="9" customFormat="1" x14ac:dyDescent="0.25">
      <c r="B151" s="10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</row>
    <row r="152" spans="2:42" s="9" customFormat="1" x14ac:dyDescent="0.25">
      <c r="B152" s="10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</row>
    <row r="153" spans="2:42" s="9" customFormat="1" x14ac:dyDescent="0.25">
      <c r="B153" s="10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</row>
    <row r="154" spans="2:42" s="9" customFormat="1" x14ac:dyDescent="0.25">
      <c r="B154" s="10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</row>
    <row r="155" spans="2:42" s="9" customFormat="1" x14ac:dyDescent="0.25">
      <c r="B155" s="10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</row>
    <row r="156" spans="2:42" s="9" customFormat="1" x14ac:dyDescent="0.25">
      <c r="B156" s="10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</row>
    <row r="157" spans="2:42" s="9" customFormat="1" x14ac:dyDescent="0.25">
      <c r="B157" s="10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</row>
    <row r="158" spans="2:42" s="9" customFormat="1" x14ac:dyDescent="0.25">
      <c r="B158" s="10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</row>
    <row r="159" spans="2:42" s="9" customFormat="1" x14ac:dyDescent="0.25">
      <c r="B159" s="10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</row>
    <row r="160" spans="2:42" s="9" customFormat="1" x14ac:dyDescent="0.25">
      <c r="B160" s="10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</row>
    <row r="161" spans="2:42" s="9" customFormat="1" x14ac:dyDescent="0.25">
      <c r="B161" s="10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</row>
    <row r="162" spans="2:42" s="9" customFormat="1" x14ac:dyDescent="0.25">
      <c r="B162" s="10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</row>
    <row r="163" spans="2:42" s="9" customFormat="1" x14ac:dyDescent="0.25">
      <c r="B163" s="10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</row>
    <row r="164" spans="2:42" s="9" customFormat="1" x14ac:dyDescent="0.25">
      <c r="B164" s="10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</row>
    <row r="165" spans="2:42" s="9" customFormat="1" x14ac:dyDescent="0.25">
      <c r="B165" s="10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</row>
    <row r="166" spans="2:42" s="9" customFormat="1" x14ac:dyDescent="0.25">
      <c r="B166" s="10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</row>
    <row r="167" spans="2:42" s="9" customFormat="1" x14ac:dyDescent="0.25">
      <c r="B167" s="10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</row>
    <row r="168" spans="2:42" s="9" customFormat="1" x14ac:dyDescent="0.25">
      <c r="B168" s="10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</row>
    <row r="169" spans="2:42" s="9" customFormat="1" x14ac:dyDescent="0.25">
      <c r="B169" s="10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</row>
    <row r="170" spans="2:42" s="9" customFormat="1" x14ac:dyDescent="0.25">
      <c r="B170" s="10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</row>
    <row r="171" spans="2:42" s="9" customFormat="1" x14ac:dyDescent="0.25">
      <c r="B171" s="10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</row>
    <row r="172" spans="2:42" s="9" customFormat="1" x14ac:dyDescent="0.25">
      <c r="B172" s="10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</row>
    <row r="173" spans="2:42" s="9" customFormat="1" x14ac:dyDescent="0.25">
      <c r="B173" s="10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</row>
    <row r="174" spans="2:42" s="9" customFormat="1" x14ac:dyDescent="0.25">
      <c r="B174" s="10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</row>
    <row r="175" spans="2:42" s="9" customFormat="1" x14ac:dyDescent="0.25">
      <c r="B175" s="10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</row>
    <row r="176" spans="2:42" s="9" customFormat="1" x14ac:dyDescent="0.25">
      <c r="B176" s="10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</row>
    <row r="177" spans="2:42" s="9" customFormat="1" x14ac:dyDescent="0.25">
      <c r="B177" s="10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</row>
    <row r="178" spans="2:42" s="9" customFormat="1" x14ac:dyDescent="0.25">
      <c r="B178" s="10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</row>
    <row r="179" spans="2:42" s="9" customFormat="1" x14ac:dyDescent="0.25">
      <c r="B179" s="10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</row>
    <row r="180" spans="2:42" s="9" customFormat="1" x14ac:dyDescent="0.25">
      <c r="B180" s="10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</row>
    <row r="181" spans="2:42" s="9" customFormat="1" x14ac:dyDescent="0.25">
      <c r="B181" s="10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</row>
    <row r="182" spans="2:42" s="9" customFormat="1" x14ac:dyDescent="0.25">
      <c r="B182" s="10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</row>
    <row r="183" spans="2:42" s="9" customFormat="1" x14ac:dyDescent="0.25">
      <c r="B183" s="10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</row>
    <row r="184" spans="2:42" s="9" customFormat="1" x14ac:dyDescent="0.25">
      <c r="B184" s="10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</row>
    <row r="185" spans="2:42" s="9" customFormat="1" x14ac:dyDescent="0.25">
      <c r="B185" s="10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</row>
    <row r="186" spans="2:42" s="9" customFormat="1" x14ac:dyDescent="0.25">
      <c r="B186" s="10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</row>
    <row r="187" spans="2:42" s="9" customFormat="1" x14ac:dyDescent="0.25">
      <c r="B187" s="10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</row>
    <row r="188" spans="2:42" s="9" customFormat="1" x14ac:dyDescent="0.25">
      <c r="B188" s="10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</row>
    <row r="189" spans="2:42" s="9" customFormat="1" x14ac:dyDescent="0.25">
      <c r="B189" s="10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</row>
    <row r="190" spans="2:42" s="9" customFormat="1" x14ac:dyDescent="0.25">
      <c r="B190" s="10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</row>
    <row r="191" spans="2:42" s="9" customFormat="1" x14ac:dyDescent="0.25">
      <c r="B191" s="10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</row>
    <row r="192" spans="2:42" s="9" customFormat="1" x14ac:dyDescent="0.25">
      <c r="B192" s="10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</row>
    <row r="193" spans="2:42" s="9" customFormat="1" x14ac:dyDescent="0.25">
      <c r="B193" s="10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</row>
    <row r="194" spans="2:42" s="9" customFormat="1" x14ac:dyDescent="0.25">
      <c r="B194" s="10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</row>
    <row r="195" spans="2:42" s="9" customFormat="1" x14ac:dyDescent="0.25">
      <c r="B195" s="10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</row>
    <row r="196" spans="2:42" s="9" customFormat="1" x14ac:dyDescent="0.25">
      <c r="B196" s="10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</row>
    <row r="197" spans="2:42" s="9" customFormat="1" x14ac:dyDescent="0.25">
      <c r="B197" s="10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</row>
    <row r="198" spans="2:42" s="9" customFormat="1" x14ac:dyDescent="0.25">
      <c r="B198" s="10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</row>
    <row r="199" spans="2:42" s="9" customFormat="1" x14ac:dyDescent="0.25">
      <c r="B199" s="10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</row>
    <row r="200" spans="2:42" s="9" customFormat="1" x14ac:dyDescent="0.25">
      <c r="B200" s="10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</row>
    <row r="201" spans="2:42" s="9" customFormat="1" x14ac:dyDescent="0.25">
      <c r="B201" s="10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</row>
    <row r="202" spans="2:42" s="9" customFormat="1" x14ac:dyDescent="0.25">
      <c r="B202" s="10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</row>
    <row r="203" spans="2:42" s="9" customFormat="1" x14ac:dyDescent="0.25">
      <c r="B203" s="10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</row>
    <row r="204" spans="2:42" s="9" customFormat="1" x14ac:dyDescent="0.25">
      <c r="B204" s="10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</row>
    <row r="205" spans="2:42" s="9" customFormat="1" x14ac:dyDescent="0.25">
      <c r="B205" s="10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</row>
    <row r="206" spans="2:42" s="9" customFormat="1" x14ac:dyDescent="0.25">
      <c r="B206" s="10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</row>
    <row r="207" spans="2:42" s="9" customFormat="1" x14ac:dyDescent="0.25">
      <c r="B207" s="10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</row>
    <row r="208" spans="2:42" s="9" customFormat="1" x14ac:dyDescent="0.25">
      <c r="B208" s="10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</row>
    <row r="209" spans="2:42" s="9" customFormat="1" x14ac:dyDescent="0.25">
      <c r="B209" s="10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</row>
    <row r="210" spans="2:42" s="9" customFormat="1" x14ac:dyDescent="0.25">
      <c r="B210" s="10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</row>
    <row r="211" spans="2:42" s="9" customFormat="1" x14ac:dyDescent="0.25">
      <c r="B211" s="10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</row>
    <row r="212" spans="2:42" s="9" customFormat="1" x14ac:dyDescent="0.25">
      <c r="B212" s="10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</row>
    <row r="213" spans="2:42" s="9" customFormat="1" x14ac:dyDescent="0.25">
      <c r="B213" s="10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</row>
    <row r="214" spans="2:42" s="9" customFormat="1" x14ac:dyDescent="0.25">
      <c r="B214" s="10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</row>
    <row r="215" spans="2:42" s="9" customFormat="1" x14ac:dyDescent="0.25">
      <c r="B215" s="10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</row>
    <row r="216" spans="2:42" s="9" customFormat="1" x14ac:dyDescent="0.25">
      <c r="B216" s="10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</row>
    <row r="217" spans="2:42" s="9" customFormat="1" x14ac:dyDescent="0.25">
      <c r="B217" s="10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</row>
    <row r="218" spans="2:42" s="9" customFormat="1" x14ac:dyDescent="0.25">
      <c r="B218" s="10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</row>
    <row r="219" spans="2:42" s="9" customFormat="1" x14ac:dyDescent="0.25">
      <c r="B219" s="10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</row>
    <row r="220" spans="2:42" s="9" customFormat="1" x14ac:dyDescent="0.25">
      <c r="B220" s="10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</row>
    <row r="221" spans="2:42" s="9" customFormat="1" x14ac:dyDescent="0.25">
      <c r="B221" s="10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</row>
    <row r="222" spans="2:42" s="9" customFormat="1" x14ac:dyDescent="0.25">
      <c r="B222" s="10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</row>
    <row r="223" spans="2:42" s="9" customFormat="1" x14ac:dyDescent="0.25">
      <c r="B223" s="10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</row>
    <row r="224" spans="2:42" s="9" customFormat="1" x14ac:dyDescent="0.25">
      <c r="B224" s="10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</row>
    <row r="225" spans="2:42" s="9" customFormat="1" x14ac:dyDescent="0.25">
      <c r="B225" s="10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</row>
    <row r="226" spans="2:42" s="9" customFormat="1" x14ac:dyDescent="0.25">
      <c r="B226" s="10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</row>
    <row r="227" spans="2:42" s="9" customFormat="1" x14ac:dyDescent="0.25">
      <c r="B227" s="10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</row>
    <row r="228" spans="2:42" s="9" customFormat="1" x14ac:dyDescent="0.25">
      <c r="B228" s="10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</row>
    <row r="229" spans="2:42" s="9" customFormat="1" x14ac:dyDescent="0.25">
      <c r="B229" s="10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</row>
    <row r="230" spans="2:42" s="9" customFormat="1" x14ac:dyDescent="0.25">
      <c r="B230" s="10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</row>
    <row r="231" spans="2:42" s="9" customFormat="1" x14ac:dyDescent="0.25">
      <c r="B231" s="10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</row>
    <row r="232" spans="2:42" s="9" customFormat="1" x14ac:dyDescent="0.25">
      <c r="B232" s="10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</row>
    <row r="233" spans="2:42" s="9" customFormat="1" x14ac:dyDescent="0.25">
      <c r="B233" s="10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</row>
    <row r="234" spans="2:42" s="9" customFormat="1" x14ac:dyDescent="0.25">
      <c r="B234" s="10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</row>
    <row r="235" spans="2:42" s="9" customFormat="1" x14ac:dyDescent="0.25">
      <c r="B235" s="10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</row>
    <row r="236" spans="2:42" s="9" customFormat="1" x14ac:dyDescent="0.25">
      <c r="B236" s="10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</row>
    <row r="237" spans="2:42" s="9" customFormat="1" x14ac:dyDescent="0.25">
      <c r="B237" s="10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</row>
    <row r="238" spans="2:42" s="9" customFormat="1" x14ac:dyDescent="0.25">
      <c r="B238" s="10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</row>
    <row r="239" spans="2:42" s="9" customFormat="1" x14ac:dyDescent="0.25">
      <c r="B239" s="10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</row>
    <row r="240" spans="2:42" x14ac:dyDescent="0.25">
      <c r="B240" s="10"/>
    </row>
    <row r="241" spans="2:2" x14ac:dyDescent="0.25">
      <c r="B241" s="10"/>
    </row>
    <row r="242" spans="2:2" x14ac:dyDescent="0.25">
      <c r="B242" s="10"/>
    </row>
    <row r="243" spans="2:2" x14ac:dyDescent="0.25">
      <c r="B243" s="10"/>
    </row>
    <row r="244" spans="2:2" x14ac:dyDescent="0.25">
      <c r="B244" s="10"/>
    </row>
    <row r="245" spans="2:2" x14ac:dyDescent="0.25">
      <c r="B245" s="10"/>
    </row>
    <row r="246" spans="2:2" x14ac:dyDescent="0.25">
      <c r="B246" s="10"/>
    </row>
    <row r="247" spans="2:2" x14ac:dyDescent="0.25">
      <c r="B247" s="10"/>
    </row>
  </sheetData>
  <mergeCells count="72">
    <mergeCell ref="BK6:BK8"/>
    <mergeCell ref="BL6:BO6"/>
    <mergeCell ref="BL7:BM7"/>
    <mergeCell ref="BN7:BO7"/>
    <mergeCell ref="AV5:AZ5"/>
    <mergeCell ref="AV6:AV8"/>
    <mergeCell ref="AW6:AZ6"/>
    <mergeCell ref="AW7:AX7"/>
    <mergeCell ref="AY7:AZ7"/>
    <mergeCell ref="BF5:BJ5"/>
    <mergeCell ref="BF6:BF8"/>
    <mergeCell ref="BG6:BJ6"/>
    <mergeCell ref="BG7:BH7"/>
    <mergeCell ref="BI7:BJ7"/>
    <mergeCell ref="BA6:BA8"/>
    <mergeCell ref="BB6:BE6"/>
    <mergeCell ref="BB7:BC7"/>
    <mergeCell ref="BD7:BE7"/>
    <mergeCell ref="A5:A8"/>
    <mergeCell ref="B5:B8"/>
    <mergeCell ref="AH6:AK6"/>
    <mergeCell ref="AL5:AP5"/>
    <mergeCell ref="AL6:AL8"/>
    <mergeCell ref="AC6:AF6"/>
    <mergeCell ref="AG6:AG8"/>
    <mergeCell ref="I6:L6"/>
    <mergeCell ref="D7:E7"/>
    <mergeCell ref="F7:G7"/>
    <mergeCell ref="I7:J7"/>
    <mergeCell ref="K7:L7"/>
    <mergeCell ref="W6:W8"/>
    <mergeCell ref="AQ5:AU5"/>
    <mergeCell ref="AQ6:AQ8"/>
    <mergeCell ref="AR6:AU6"/>
    <mergeCell ref="AR7:AS7"/>
    <mergeCell ref="AT7:AU7"/>
    <mergeCell ref="AM6:AP6"/>
    <mergeCell ref="AM7:AN7"/>
    <mergeCell ref="AO7:AP7"/>
    <mergeCell ref="X6:AA6"/>
    <mergeCell ref="C6:C8"/>
    <mergeCell ref="D6:G6"/>
    <mergeCell ref="M6:M8"/>
    <mergeCell ref="N6:Q6"/>
    <mergeCell ref="H6:H8"/>
    <mergeCell ref="P7:Q7"/>
    <mergeCell ref="C5:G5"/>
    <mergeCell ref="H5:L5"/>
    <mergeCell ref="M5:Q5"/>
    <mergeCell ref="R5:V5"/>
    <mergeCell ref="BP5:BT5"/>
    <mergeCell ref="AG5:AK5"/>
    <mergeCell ref="W5:AA5"/>
    <mergeCell ref="AB5:AF5"/>
    <mergeCell ref="BA5:BE5"/>
    <mergeCell ref="BK5:BO5"/>
    <mergeCell ref="BP6:BP8"/>
    <mergeCell ref="BQ6:BT6"/>
    <mergeCell ref="BQ7:BR7"/>
    <mergeCell ref="BS7:BT7"/>
    <mergeCell ref="N7:O7"/>
    <mergeCell ref="S7:T7"/>
    <mergeCell ref="U7:V7"/>
    <mergeCell ref="R6:R8"/>
    <mergeCell ref="S6:V6"/>
    <mergeCell ref="AH7:AI7"/>
    <mergeCell ref="AJ7:AK7"/>
    <mergeCell ref="X7:Y7"/>
    <mergeCell ref="Z7:AA7"/>
    <mergeCell ref="AB6:AB8"/>
    <mergeCell ref="AC7:AD7"/>
    <mergeCell ref="AE7:AF7"/>
  </mergeCells>
  <phoneticPr fontId="0" type="noConversion"/>
  <pageMargins left="0.39" right="0.2" top="1.19" bottom="0.75" header="0.55000000000000004" footer="0.51181102362204722"/>
  <pageSetup paperSize="9" scale="68" orientation="landscape" r:id="rId1"/>
  <headerFooter alignWithMargins="0">
    <oddFooter>&amp;R&amp;Z&amp;F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J247"/>
  <sheetViews>
    <sheetView workbookViewId="0">
      <selection activeCell="DI12" sqref="DI12"/>
    </sheetView>
  </sheetViews>
  <sheetFormatPr baseColWidth="10" defaultColWidth="11.44140625" defaultRowHeight="13.2" x14ac:dyDescent="0.25"/>
  <cols>
    <col min="1" max="1" width="3.6640625" style="45" customWidth="1"/>
    <col min="2" max="2" width="21.109375" style="46" customWidth="1"/>
    <col min="3" max="3" width="0.109375" style="45" hidden="1" customWidth="1"/>
    <col min="4" max="9" width="6.5546875" style="45" hidden="1" customWidth="1"/>
    <col min="10" max="10" width="6.6640625" style="45" hidden="1" customWidth="1"/>
    <col min="11" max="15" width="6.5546875" style="45" hidden="1" customWidth="1"/>
    <col min="16" max="16" width="5.5546875" style="45" hidden="1" customWidth="1"/>
    <col min="17" max="17" width="0.5546875" style="45" customWidth="1"/>
    <col min="18" max="18" width="6.5546875" style="45" hidden="1" customWidth="1"/>
    <col min="19" max="19" width="5.5546875" style="45" hidden="1" customWidth="1"/>
    <col min="20" max="20" width="6.5546875" style="45" hidden="1" customWidth="1"/>
    <col min="21" max="21" width="5.5546875" style="45" hidden="1" customWidth="1"/>
    <col min="22" max="22" width="0.88671875" style="45" hidden="1" customWidth="1"/>
    <col min="23" max="23" width="5.5546875" style="45" hidden="1" customWidth="1"/>
    <col min="24" max="24" width="7.109375" style="45" hidden="1" customWidth="1"/>
    <col min="25" max="26" width="6.5546875" style="45" hidden="1" customWidth="1"/>
    <col min="27" max="27" width="6.6640625" style="45" hidden="1" customWidth="1"/>
    <col min="28" max="28" width="5.5546875" style="45" hidden="1" customWidth="1"/>
    <col min="29" max="29" width="6.6640625" style="45" hidden="1" customWidth="1"/>
    <col min="30" max="30" width="4.5546875" style="45" hidden="1" customWidth="1"/>
    <col min="31" max="31" width="6.6640625" style="45" hidden="1" customWidth="1"/>
    <col min="32" max="37" width="6.5546875" style="45" hidden="1" customWidth="1"/>
    <col min="38" max="38" width="6.6640625" style="45" hidden="1" customWidth="1"/>
    <col min="39" max="39" width="6.5546875" style="45" hidden="1" customWidth="1"/>
    <col min="40" max="40" width="5.5546875" style="45" hidden="1" customWidth="1"/>
    <col min="41" max="41" width="6.5546875" style="45" hidden="1" customWidth="1"/>
    <col min="42" max="42" width="5.5546875" style="45" hidden="1" customWidth="1"/>
    <col min="43" max="43" width="6.5546875" style="45" hidden="1" customWidth="1"/>
    <col min="44" max="44" width="5.5546875" style="45" hidden="1" customWidth="1"/>
    <col min="45" max="45" width="6.33203125" style="45" hidden="1" customWidth="1"/>
    <col min="46" max="46" width="6.5546875" style="45" hidden="1" customWidth="1"/>
    <col min="47" max="47" width="5.6640625" style="45" hidden="1" customWidth="1"/>
    <col min="48" max="48" width="6.5546875" style="45" hidden="1" customWidth="1"/>
    <col min="49" max="49" width="5.5546875" style="45" hidden="1" customWidth="1"/>
    <col min="50" max="50" width="6.5546875" style="45" hidden="1" customWidth="1"/>
    <col min="51" max="51" width="5.88671875" style="45" hidden="1" customWidth="1"/>
    <col min="52" max="52" width="6.6640625" style="45" hidden="1" customWidth="1"/>
    <col min="53" max="53" width="6.5546875" style="45" hidden="1" customWidth="1"/>
    <col min="54" max="54" width="5.5546875" style="45" hidden="1" customWidth="1"/>
    <col min="55" max="55" width="6.5546875" style="45" hidden="1" customWidth="1"/>
    <col min="56" max="56" width="5.5546875" style="45" hidden="1" customWidth="1"/>
    <col min="57" max="57" width="6.5546875" style="45" hidden="1" customWidth="1"/>
    <col min="58" max="58" width="5.5546875" style="45" hidden="1" customWidth="1"/>
    <col min="59" max="59" width="1" style="45" customWidth="1"/>
    <col min="60" max="60" width="6.5546875" style="45" hidden="1" customWidth="1"/>
    <col min="61" max="61" width="5.5546875" style="45" hidden="1" customWidth="1"/>
    <col min="62" max="62" width="6.5546875" style="45" hidden="1" customWidth="1"/>
    <col min="63" max="63" width="5.5546875" style="45" hidden="1" customWidth="1"/>
    <col min="64" max="64" width="6.5546875" style="45" hidden="1" customWidth="1"/>
    <col min="65" max="65" width="5.5546875" style="45" hidden="1" customWidth="1"/>
    <col min="66" max="66" width="6.6640625" style="45" hidden="1" customWidth="1"/>
    <col min="67" max="67" width="6.5546875" style="45" hidden="1" customWidth="1"/>
    <col min="68" max="68" width="6.109375" style="45" hidden="1" customWidth="1"/>
    <col min="69" max="69" width="6.5546875" style="45" hidden="1" customWidth="1"/>
    <col min="70" max="70" width="5.5546875" style="45" hidden="1" customWidth="1"/>
    <col min="71" max="71" width="6.5546875" style="45" hidden="1" customWidth="1"/>
    <col min="72" max="72" width="5.5546875" style="45" hidden="1" customWidth="1"/>
    <col min="73" max="73" width="7.109375" style="47" customWidth="1"/>
    <col min="74" max="74" width="5.6640625" style="47" customWidth="1"/>
    <col min="75" max="75" width="5.88671875" style="47" customWidth="1"/>
    <col min="76" max="76" width="6.44140625" style="47" customWidth="1"/>
    <col min="77" max="77" width="5.109375" style="47" customWidth="1"/>
    <col min="78" max="78" width="6.109375" style="47" customWidth="1"/>
    <col min="79" max="79" width="6.5546875" style="47" customWidth="1"/>
    <col min="80" max="80" width="7.109375" style="47" customWidth="1"/>
    <col min="81" max="82" width="6.6640625" style="47" customWidth="1"/>
    <col min="83" max="83" width="6.33203125" style="47" customWidth="1"/>
    <col min="84" max="84" width="5.33203125" style="47" customWidth="1"/>
    <col min="85" max="85" width="6.88671875" style="47" customWidth="1"/>
    <col min="86" max="86" width="6.33203125" style="47" customWidth="1"/>
    <col min="87" max="87" width="7.33203125" style="47" customWidth="1"/>
    <col min="88" max="88" width="6" style="47" customWidth="1"/>
    <col min="89" max="89" width="7.33203125" style="47" customWidth="1"/>
    <col min="90" max="90" width="6.6640625" style="47" customWidth="1"/>
    <col min="91" max="91" width="7.33203125" style="47" customWidth="1"/>
    <col min="92" max="92" width="6.6640625" style="47" customWidth="1"/>
    <col min="93" max="93" width="6.33203125" style="47" customWidth="1"/>
    <col min="94" max="94" width="7.33203125" style="47" customWidth="1"/>
    <col min="95" max="95" width="6.44140625" style="47" customWidth="1"/>
    <col min="96" max="96" width="7.33203125" style="47" customWidth="1"/>
    <col min="97" max="97" width="5.88671875" style="47" customWidth="1"/>
    <col min="98" max="98" width="6" style="47" customWidth="1"/>
    <col min="99" max="100" width="5.6640625" style="47" customWidth="1"/>
    <col min="101" max="101" width="7.33203125" style="47" customWidth="1"/>
    <col min="102" max="103" width="6.109375" style="47" customWidth="1"/>
    <col min="104" max="104" width="6.33203125" style="47" customWidth="1"/>
    <col min="105" max="105" width="6.5546875" style="47" customWidth="1"/>
    <col min="106" max="106" width="5.88671875" style="47" customWidth="1"/>
    <col min="107" max="107" width="6.33203125" style="47" customWidth="1"/>
    <col min="108" max="114" width="6.6640625" style="47" customWidth="1"/>
    <col min="115" max="16384" width="11.44140625" style="47"/>
  </cols>
  <sheetData>
    <row r="1" spans="1:114" s="43" customFormat="1" x14ac:dyDescent="0.25">
      <c r="A1" s="43" t="s">
        <v>31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</row>
    <row r="2" spans="1:114" s="43" customFormat="1" x14ac:dyDescent="0.25">
      <c r="A2" s="43" t="s">
        <v>54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</row>
    <row r="4" spans="1:114" ht="13.8" thickBot="1" x14ac:dyDescent="0.3"/>
    <row r="5" spans="1:114" s="50" customFormat="1" ht="15" customHeight="1" x14ac:dyDescent="0.25">
      <c r="A5" s="324" t="s">
        <v>27</v>
      </c>
      <c r="B5" s="327" t="s">
        <v>28</v>
      </c>
      <c r="C5" s="299" t="s">
        <v>25</v>
      </c>
      <c r="D5" s="300"/>
      <c r="E5" s="300"/>
      <c r="F5" s="300"/>
      <c r="G5" s="300"/>
      <c r="H5" s="300"/>
      <c r="I5" s="301"/>
      <c r="J5" s="299" t="s">
        <v>42</v>
      </c>
      <c r="K5" s="300"/>
      <c r="L5" s="300"/>
      <c r="M5" s="300"/>
      <c r="N5" s="300"/>
      <c r="O5" s="300"/>
      <c r="P5" s="301"/>
      <c r="Q5" s="299" t="s">
        <v>53</v>
      </c>
      <c r="R5" s="300"/>
      <c r="S5" s="300"/>
      <c r="T5" s="300"/>
      <c r="U5" s="300"/>
      <c r="V5" s="300"/>
      <c r="W5" s="301"/>
      <c r="X5" s="299" t="s">
        <v>18</v>
      </c>
      <c r="Y5" s="300"/>
      <c r="Z5" s="300"/>
      <c r="AA5" s="300"/>
      <c r="AB5" s="300"/>
      <c r="AC5" s="300"/>
      <c r="AD5" s="301"/>
      <c r="AE5" s="299" t="s">
        <v>19</v>
      </c>
      <c r="AF5" s="300"/>
      <c r="AG5" s="300"/>
      <c r="AH5" s="300"/>
      <c r="AI5" s="300"/>
      <c r="AJ5" s="300"/>
      <c r="AK5" s="301"/>
      <c r="AL5" s="299" t="s">
        <v>23</v>
      </c>
      <c r="AM5" s="300"/>
      <c r="AN5" s="300"/>
      <c r="AO5" s="300"/>
      <c r="AP5" s="300"/>
      <c r="AQ5" s="300"/>
      <c r="AR5" s="301"/>
      <c r="AS5" s="299" t="s">
        <v>24</v>
      </c>
      <c r="AT5" s="300"/>
      <c r="AU5" s="300"/>
      <c r="AV5" s="300"/>
      <c r="AW5" s="300"/>
      <c r="AX5" s="300"/>
      <c r="AY5" s="301"/>
      <c r="AZ5" s="299" t="s">
        <v>26</v>
      </c>
      <c r="BA5" s="300"/>
      <c r="BB5" s="300"/>
      <c r="BC5" s="300"/>
      <c r="BD5" s="300"/>
      <c r="BE5" s="300"/>
      <c r="BF5" s="301"/>
      <c r="BG5" s="299" t="s">
        <v>39</v>
      </c>
      <c r="BH5" s="300"/>
      <c r="BI5" s="300"/>
      <c r="BJ5" s="300"/>
      <c r="BK5" s="300"/>
      <c r="BL5" s="300"/>
      <c r="BM5" s="301"/>
      <c r="BN5" s="299" t="s">
        <v>44</v>
      </c>
      <c r="BO5" s="300"/>
      <c r="BP5" s="300"/>
      <c r="BQ5" s="300"/>
      <c r="BR5" s="300"/>
      <c r="BS5" s="300"/>
      <c r="BT5" s="301"/>
      <c r="BU5" s="299" t="s">
        <v>55</v>
      </c>
      <c r="BV5" s="300"/>
      <c r="BW5" s="300"/>
      <c r="BX5" s="300"/>
      <c r="BY5" s="300"/>
      <c r="BZ5" s="300"/>
      <c r="CA5" s="301"/>
      <c r="CB5" s="299" t="s">
        <v>56</v>
      </c>
      <c r="CC5" s="300"/>
      <c r="CD5" s="300"/>
      <c r="CE5" s="300"/>
      <c r="CF5" s="300"/>
      <c r="CG5" s="300"/>
      <c r="CH5" s="301"/>
      <c r="CI5" s="299" t="s">
        <v>57</v>
      </c>
      <c r="CJ5" s="300"/>
      <c r="CK5" s="300"/>
      <c r="CL5" s="300"/>
      <c r="CM5" s="300"/>
      <c r="CN5" s="300"/>
      <c r="CO5" s="301"/>
      <c r="CP5" s="299" t="s">
        <v>60</v>
      </c>
      <c r="CQ5" s="300"/>
      <c r="CR5" s="300"/>
      <c r="CS5" s="300"/>
      <c r="CT5" s="300"/>
      <c r="CU5" s="300"/>
      <c r="CV5" s="301"/>
      <c r="CW5" s="299" t="s">
        <v>67</v>
      </c>
      <c r="CX5" s="300"/>
      <c r="CY5" s="300"/>
      <c r="CZ5" s="300"/>
      <c r="DA5" s="300"/>
      <c r="DB5" s="300"/>
      <c r="DC5" s="301"/>
      <c r="DD5" s="299" t="s">
        <v>77</v>
      </c>
      <c r="DE5" s="300"/>
      <c r="DF5" s="300"/>
      <c r="DG5" s="300"/>
      <c r="DH5" s="300"/>
      <c r="DI5" s="300"/>
      <c r="DJ5" s="301"/>
    </row>
    <row r="6" spans="1:114" s="50" customFormat="1" ht="15" customHeight="1" x14ac:dyDescent="0.25">
      <c r="A6" s="325"/>
      <c r="B6" s="328"/>
      <c r="C6" s="316" t="s">
        <v>29</v>
      </c>
      <c r="D6" s="321" t="s">
        <v>49</v>
      </c>
      <c r="E6" s="322"/>
      <c r="F6" s="322"/>
      <c r="G6" s="322"/>
      <c r="H6" s="322"/>
      <c r="I6" s="323"/>
      <c r="J6" s="316" t="s">
        <v>29</v>
      </c>
      <c r="K6" s="321" t="s">
        <v>49</v>
      </c>
      <c r="L6" s="322"/>
      <c r="M6" s="322"/>
      <c r="N6" s="322"/>
      <c r="O6" s="322"/>
      <c r="P6" s="323"/>
      <c r="Q6" s="316" t="s">
        <v>29</v>
      </c>
      <c r="R6" s="321" t="s">
        <v>49</v>
      </c>
      <c r="S6" s="322"/>
      <c r="T6" s="322"/>
      <c r="U6" s="322"/>
      <c r="V6" s="322"/>
      <c r="W6" s="323"/>
      <c r="X6" s="316" t="s">
        <v>29</v>
      </c>
      <c r="Y6" s="321" t="s">
        <v>49</v>
      </c>
      <c r="Z6" s="322"/>
      <c r="AA6" s="322"/>
      <c r="AB6" s="322"/>
      <c r="AC6" s="322"/>
      <c r="AD6" s="323"/>
      <c r="AE6" s="316" t="s">
        <v>29</v>
      </c>
      <c r="AF6" s="321" t="s">
        <v>49</v>
      </c>
      <c r="AG6" s="322"/>
      <c r="AH6" s="322"/>
      <c r="AI6" s="322"/>
      <c r="AJ6" s="322"/>
      <c r="AK6" s="323"/>
      <c r="AL6" s="316" t="s">
        <v>29</v>
      </c>
      <c r="AM6" s="321" t="s">
        <v>49</v>
      </c>
      <c r="AN6" s="322"/>
      <c r="AO6" s="322"/>
      <c r="AP6" s="322"/>
      <c r="AQ6" s="322"/>
      <c r="AR6" s="323"/>
      <c r="AS6" s="316" t="s">
        <v>29</v>
      </c>
      <c r="AT6" s="321" t="s">
        <v>49</v>
      </c>
      <c r="AU6" s="322"/>
      <c r="AV6" s="322"/>
      <c r="AW6" s="322"/>
      <c r="AX6" s="322"/>
      <c r="AY6" s="323"/>
      <c r="AZ6" s="316" t="s">
        <v>29</v>
      </c>
      <c r="BA6" s="321" t="s">
        <v>49</v>
      </c>
      <c r="BB6" s="322"/>
      <c r="BC6" s="322"/>
      <c r="BD6" s="322"/>
      <c r="BE6" s="322"/>
      <c r="BF6" s="323"/>
      <c r="BG6" s="316" t="s">
        <v>29</v>
      </c>
      <c r="BH6" s="321" t="s">
        <v>49</v>
      </c>
      <c r="BI6" s="322"/>
      <c r="BJ6" s="322"/>
      <c r="BK6" s="322"/>
      <c r="BL6" s="322"/>
      <c r="BM6" s="323"/>
      <c r="BN6" s="316" t="s">
        <v>29</v>
      </c>
      <c r="BO6" s="321" t="s">
        <v>49</v>
      </c>
      <c r="BP6" s="322"/>
      <c r="BQ6" s="322"/>
      <c r="BR6" s="322"/>
      <c r="BS6" s="322"/>
      <c r="BT6" s="323"/>
      <c r="BU6" s="302" t="s">
        <v>29</v>
      </c>
      <c r="BV6" s="305" t="s">
        <v>49</v>
      </c>
      <c r="BW6" s="306"/>
      <c r="BX6" s="306"/>
      <c r="BY6" s="306"/>
      <c r="BZ6" s="306"/>
      <c r="CA6" s="307"/>
      <c r="CB6" s="302" t="s">
        <v>29</v>
      </c>
      <c r="CC6" s="305" t="s">
        <v>49</v>
      </c>
      <c r="CD6" s="306"/>
      <c r="CE6" s="306"/>
      <c r="CF6" s="306"/>
      <c r="CG6" s="306"/>
      <c r="CH6" s="307"/>
      <c r="CI6" s="302" t="s">
        <v>29</v>
      </c>
      <c r="CJ6" s="305" t="s">
        <v>49</v>
      </c>
      <c r="CK6" s="306"/>
      <c r="CL6" s="306"/>
      <c r="CM6" s="306"/>
      <c r="CN6" s="306"/>
      <c r="CO6" s="307"/>
      <c r="CP6" s="302" t="s">
        <v>29</v>
      </c>
      <c r="CQ6" s="305" t="s">
        <v>49</v>
      </c>
      <c r="CR6" s="306"/>
      <c r="CS6" s="306"/>
      <c r="CT6" s="306"/>
      <c r="CU6" s="306"/>
      <c r="CV6" s="307"/>
      <c r="CW6" s="302" t="s">
        <v>29</v>
      </c>
      <c r="CX6" s="305" t="s">
        <v>49</v>
      </c>
      <c r="CY6" s="306"/>
      <c r="CZ6" s="306"/>
      <c r="DA6" s="306"/>
      <c r="DB6" s="306"/>
      <c r="DC6" s="307"/>
      <c r="DD6" s="302" t="s">
        <v>29</v>
      </c>
      <c r="DE6" s="305" t="s">
        <v>49</v>
      </c>
      <c r="DF6" s="306"/>
      <c r="DG6" s="306"/>
      <c r="DH6" s="306"/>
      <c r="DI6" s="306"/>
      <c r="DJ6" s="307"/>
    </row>
    <row r="7" spans="1:114" ht="38.25" customHeight="1" x14ac:dyDescent="0.25">
      <c r="A7" s="325"/>
      <c r="B7" s="328"/>
      <c r="C7" s="317"/>
      <c r="D7" s="319" t="s">
        <v>52</v>
      </c>
      <c r="E7" s="320"/>
      <c r="F7" s="314" t="s">
        <v>45</v>
      </c>
      <c r="G7" s="315"/>
      <c r="H7" s="314" t="s">
        <v>46</v>
      </c>
      <c r="I7" s="315"/>
      <c r="J7" s="317"/>
      <c r="K7" s="319" t="s">
        <v>52</v>
      </c>
      <c r="L7" s="320"/>
      <c r="M7" s="314" t="s">
        <v>45</v>
      </c>
      <c r="N7" s="315"/>
      <c r="O7" s="314" t="s">
        <v>46</v>
      </c>
      <c r="P7" s="315"/>
      <c r="Q7" s="317"/>
      <c r="R7" s="319" t="s">
        <v>52</v>
      </c>
      <c r="S7" s="320"/>
      <c r="T7" s="314" t="s">
        <v>45</v>
      </c>
      <c r="U7" s="315"/>
      <c r="V7" s="314" t="s">
        <v>46</v>
      </c>
      <c r="W7" s="315"/>
      <c r="X7" s="317"/>
      <c r="Y7" s="319" t="s">
        <v>52</v>
      </c>
      <c r="Z7" s="320"/>
      <c r="AA7" s="314" t="s">
        <v>45</v>
      </c>
      <c r="AB7" s="315"/>
      <c r="AC7" s="314" t="s">
        <v>46</v>
      </c>
      <c r="AD7" s="315"/>
      <c r="AE7" s="317"/>
      <c r="AF7" s="319" t="s">
        <v>52</v>
      </c>
      <c r="AG7" s="320"/>
      <c r="AH7" s="314" t="s">
        <v>45</v>
      </c>
      <c r="AI7" s="315"/>
      <c r="AJ7" s="314" t="s">
        <v>46</v>
      </c>
      <c r="AK7" s="315"/>
      <c r="AL7" s="317"/>
      <c r="AM7" s="319" t="s">
        <v>52</v>
      </c>
      <c r="AN7" s="320"/>
      <c r="AO7" s="314" t="s">
        <v>45</v>
      </c>
      <c r="AP7" s="315"/>
      <c r="AQ7" s="314" t="s">
        <v>46</v>
      </c>
      <c r="AR7" s="315"/>
      <c r="AS7" s="317"/>
      <c r="AT7" s="319" t="s">
        <v>52</v>
      </c>
      <c r="AU7" s="320"/>
      <c r="AV7" s="314" t="s">
        <v>45</v>
      </c>
      <c r="AW7" s="315"/>
      <c r="AX7" s="314" t="s">
        <v>46</v>
      </c>
      <c r="AY7" s="315"/>
      <c r="AZ7" s="317"/>
      <c r="BA7" s="319" t="s">
        <v>52</v>
      </c>
      <c r="BB7" s="320"/>
      <c r="BC7" s="314" t="s">
        <v>45</v>
      </c>
      <c r="BD7" s="315"/>
      <c r="BE7" s="314" t="s">
        <v>46</v>
      </c>
      <c r="BF7" s="315"/>
      <c r="BG7" s="317"/>
      <c r="BH7" s="319" t="s">
        <v>52</v>
      </c>
      <c r="BI7" s="320"/>
      <c r="BJ7" s="314" t="s">
        <v>45</v>
      </c>
      <c r="BK7" s="315"/>
      <c r="BL7" s="330" t="s">
        <v>46</v>
      </c>
      <c r="BM7" s="331"/>
      <c r="BN7" s="317"/>
      <c r="BO7" s="319" t="s">
        <v>52</v>
      </c>
      <c r="BP7" s="320"/>
      <c r="BQ7" s="314" t="s">
        <v>45</v>
      </c>
      <c r="BR7" s="315"/>
      <c r="BS7" s="330" t="s">
        <v>46</v>
      </c>
      <c r="BT7" s="331"/>
      <c r="BU7" s="303"/>
      <c r="BV7" s="308" t="s">
        <v>52</v>
      </c>
      <c r="BW7" s="309"/>
      <c r="BX7" s="310" t="s">
        <v>45</v>
      </c>
      <c r="BY7" s="311"/>
      <c r="BZ7" s="312" t="s">
        <v>46</v>
      </c>
      <c r="CA7" s="313"/>
      <c r="CB7" s="303"/>
      <c r="CC7" s="308" t="s">
        <v>52</v>
      </c>
      <c r="CD7" s="309"/>
      <c r="CE7" s="310" t="s">
        <v>45</v>
      </c>
      <c r="CF7" s="311"/>
      <c r="CG7" s="312" t="s">
        <v>46</v>
      </c>
      <c r="CH7" s="313"/>
      <c r="CI7" s="303"/>
      <c r="CJ7" s="308" t="s">
        <v>52</v>
      </c>
      <c r="CK7" s="309"/>
      <c r="CL7" s="310" t="s">
        <v>45</v>
      </c>
      <c r="CM7" s="311"/>
      <c r="CN7" s="312" t="s">
        <v>46</v>
      </c>
      <c r="CO7" s="313"/>
      <c r="CP7" s="303"/>
      <c r="CQ7" s="308" t="s">
        <v>52</v>
      </c>
      <c r="CR7" s="309"/>
      <c r="CS7" s="310" t="s">
        <v>45</v>
      </c>
      <c r="CT7" s="311"/>
      <c r="CU7" s="312" t="s">
        <v>46</v>
      </c>
      <c r="CV7" s="313"/>
      <c r="CW7" s="303"/>
      <c r="CX7" s="308" t="s">
        <v>52</v>
      </c>
      <c r="CY7" s="309"/>
      <c r="CZ7" s="310" t="s">
        <v>45</v>
      </c>
      <c r="DA7" s="311"/>
      <c r="DB7" s="312" t="s">
        <v>46</v>
      </c>
      <c r="DC7" s="313"/>
      <c r="DD7" s="303"/>
      <c r="DE7" s="308" t="s">
        <v>52</v>
      </c>
      <c r="DF7" s="309"/>
      <c r="DG7" s="310" t="s">
        <v>45</v>
      </c>
      <c r="DH7" s="311"/>
      <c r="DI7" s="312" t="s">
        <v>46</v>
      </c>
      <c r="DJ7" s="313"/>
    </row>
    <row r="8" spans="1:114" s="57" customFormat="1" ht="24" customHeight="1" thickBot="1" x14ac:dyDescent="0.3">
      <c r="A8" s="326"/>
      <c r="B8" s="329"/>
      <c r="C8" s="318"/>
      <c r="D8" s="84" t="s">
        <v>35</v>
      </c>
      <c r="E8" s="120" t="s">
        <v>36</v>
      </c>
      <c r="F8" s="84" t="s">
        <v>35</v>
      </c>
      <c r="G8" s="121" t="s">
        <v>36</v>
      </c>
      <c r="H8" s="84" t="s">
        <v>35</v>
      </c>
      <c r="I8" s="122" t="s">
        <v>36</v>
      </c>
      <c r="J8" s="318"/>
      <c r="K8" s="84" t="s">
        <v>35</v>
      </c>
      <c r="L8" s="120" t="s">
        <v>36</v>
      </c>
      <c r="M8" s="84" t="s">
        <v>35</v>
      </c>
      <c r="N8" s="121" t="s">
        <v>36</v>
      </c>
      <c r="O8" s="84" t="s">
        <v>35</v>
      </c>
      <c r="P8" s="122" t="s">
        <v>36</v>
      </c>
      <c r="Q8" s="318"/>
      <c r="R8" s="84" t="s">
        <v>35</v>
      </c>
      <c r="S8" s="120" t="s">
        <v>36</v>
      </c>
      <c r="T8" s="84" t="s">
        <v>35</v>
      </c>
      <c r="U8" s="121" t="s">
        <v>36</v>
      </c>
      <c r="V8" s="84" t="s">
        <v>35</v>
      </c>
      <c r="W8" s="122" t="s">
        <v>36</v>
      </c>
      <c r="X8" s="318"/>
      <c r="Y8" s="84" t="s">
        <v>35</v>
      </c>
      <c r="Z8" s="120" t="s">
        <v>36</v>
      </c>
      <c r="AA8" s="84" t="s">
        <v>35</v>
      </c>
      <c r="AB8" s="121" t="s">
        <v>36</v>
      </c>
      <c r="AC8" s="84" t="s">
        <v>35</v>
      </c>
      <c r="AD8" s="122" t="s">
        <v>36</v>
      </c>
      <c r="AE8" s="318"/>
      <c r="AF8" s="84" t="s">
        <v>35</v>
      </c>
      <c r="AG8" s="120" t="s">
        <v>36</v>
      </c>
      <c r="AH8" s="84" t="s">
        <v>35</v>
      </c>
      <c r="AI8" s="121" t="s">
        <v>36</v>
      </c>
      <c r="AJ8" s="84" t="s">
        <v>35</v>
      </c>
      <c r="AK8" s="122" t="s">
        <v>36</v>
      </c>
      <c r="AL8" s="318"/>
      <c r="AM8" s="84" t="s">
        <v>35</v>
      </c>
      <c r="AN8" s="120" t="s">
        <v>36</v>
      </c>
      <c r="AO8" s="84" t="s">
        <v>35</v>
      </c>
      <c r="AP8" s="121" t="s">
        <v>36</v>
      </c>
      <c r="AQ8" s="84" t="s">
        <v>35</v>
      </c>
      <c r="AR8" s="122" t="s">
        <v>36</v>
      </c>
      <c r="AS8" s="318"/>
      <c r="AT8" s="84" t="s">
        <v>35</v>
      </c>
      <c r="AU8" s="120" t="s">
        <v>36</v>
      </c>
      <c r="AV8" s="84" t="s">
        <v>35</v>
      </c>
      <c r="AW8" s="121" t="s">
        <v>36</v>
      </c>
      <c r="AX8" s="84" t="s">
        <v>35</v>
      </c>
      <c r="AY8" s="122" t="s">
        <v>36</v>
      </c>
      <c r="AZ8" s="318"/>
      <c r="BA8" s="84" t="s">
        <v>35</v>
      </c>
      <c r="BB8" s="120" t="s">
        <v>36</v>
      </c>
      <c r="BC8" s="84" t="s">
        <v>35</v>
      </c>
      <c r="BD8" s="121" t="s">
        <v>36</v>
      </c>
      <c r="BE8" s="84" t="s">
        <v>35</v>
      </c>
      <c r="BF8" s="122" t="s">
        <v>36</v>
      </c>
      <c r="BG8" s="318"/>
      <c r="BH8" s="84" t="s">
        <v>35</v>
      </c>
      <c r="BI8" s="120" t="s">
        <v>36</v>
      </c>
      <c r="BJ8" s="84" t="s">
        <v>35</v>
      </c>
      <c r="BK8" s="121" t="s">
        <v>36</v>
      </c>
      <c r="BL8" s="84" t="s">
        <v>35</v>
      </c>
      <c r="BM8" s="122" t="s">
        <v>36</v>
      </c>
      <c r="BN8" s="318"/>
      <c r="BO8" s="84" t="s">
        <v>35</v>
      </c>
      <c r="BP8" s="120" t="s">
        <v>36</v>
      </c>
      <c r="BQ8" s="84" t="s">
        <v>35</v>
      </c>
      <c r="BR8" s="121" t="s">
        <v>36</v>
      </c>
      <c r="BS8" s="84" t="s">
        <v>35</v>
      </c>
      <c r="BT8" s="122" t="s">
        <v>36</v>
      </c>
      <c r="BU8" s="304"/>
      <c r="BV8" s="147" t="s">
        <v>35</v>
      </c>
      <c r="BW8" s="148" t="s">
        <v>36</v>
      </c>
      <c r="BX8" s="147" t="s">
        <v>35</v>
      </c>
      <c r="BY8" s="149" t="s">
        <v>36</v>
      </c>
      <c r="BZ8" s="147" t="s">
        <v>35</v>
      </c>
      <c r="CA8" s="150" t="s">
        <v>36</v>
      </c>
      <c r="CB8" s="304"/>
      <c r="CC8" s="147" t="s">
        <v>35</v>
      </c>
      <c r="CD8" s="148" t="s">
        <v>36</v>
      </c>
      <c r="CE8" s="147" t="s">
        <v>35</v>
      </c>
      <c r="CF8" s="149" t="s">
        <v>36</v>
      </c>
      <c r="CG8" s="147" t="s">
        <v>35</v>
      </c>
      <c r="CH8" s="150" t="s">
        <v>36</v>
      </c>
      <c r="CI8" s="304"/>
      <c r="CJ8" s="147" t="s">
        <v>35</v>
      </c>
      <c r="CK8" s="148" t="s">
        <v>36</v>
      </c>
      <c r="CL8" s="147" t="s">
        <v>35</v>
      </c>
      <c r="CM8" s="149" t="s">
        <v>36</v>
      </c>
      <c r="CN8" s="147" t="s">
        <v>35</v>
      </c>
      <c r="CO8" s="150" t="s">
        <v>36</v>
      </c>
      <c r="CP8" s="304"/>
      <c r="CQ8" s="147" t="s">
        <v>35</v>
      </c>
      <c r="CR8" s="148" t="s">
        <v>36</v>
      </c>
      <c r="CS8" s="147" t="s">
        <v>35</v>
      </c>
      <c r="CT8" s="149" t="s">
        <v>36</v>
      </c>
      <c r="CU8" s="147" t="s">
        <v>35</v>
      </c>
      <c r="CV8" s="150" t="s">
        <v>36</v>
      </c>
      <c r="CW8" s="304"/>
      <c r="CX8" s="147" t="s">
        <v>35</v>
      </c>
      <c r="CY8" s="148" t="s">
        <v>36</v>
      </c>
      <c r="CZ8" s="147" t="s">
        <v>35</v>
      </c>
      <c r="DA8" s="149" t="s">
        <v>36</v>
      </c>
      <c r="DB8" s="147" t="s">
        <v>35</v>
      </c>
      <c r="DC8" s="150" t="s">
        <v>36</v>
      </c>
      <c r="DD8" s="304"/>
      <c r="DE8" s="147" t="s">
        <v>35</v>
      </c>
      <c r="DF8" s="148" t="s">
        <v>36</v>
      </c>
      <c r="DG8" s="147" t="s">
        <v>35</v>
      </c>
      <c r="DH8" s="149" t="s">
        <v>36</v>
      </c>
      <c r="DI8" s="147" t="s">
        <v>35</v>
      </c>
      <c r="DJ8" s="150" t="s">
        <v>36</v>
      </c>
    </row>
    <row r="9" spans="1:114" s="65" customFormat="1" ht="15" customHeight="1" thickBot="1" x14ac:dyDescent="0.3">
      <c r="A9" s="58">
        <v>1</v>
      </c>
      <c r="B9" s="59">
        <v>2</v>
      </c>
      <c r="C9" s="60">
        <v>3</v>
      </c>
      <c r="D9" s="61">
        <v>4</v>
      </c>
      <c r="E9" s="62">
        <v>5</v>
      </c>
      <c r="F9" s="61">
        <v>4</v>
      </c>
      <c r="G9" s="62">
        <v>5</v>
      </c>
      <c r="H9" s="61">
        <v>6</v>
      </c>
      <c r="I9" s="63">
        <v>7</v>
      </c>
      <c r="J9" s="60">
        <v>3</v>
      </c>
      <c r="K9" s="61">
        <v>4</v>
      </c>
      <c r="L9" s="62">
        <v>5</v>
      </c>
      <c r="M9" s="61">
        <v>4</v>
      </c>
      <c r="N9" s="62">
        <v>5</v>
      </c>
      <c r="O9" s="61">
        <v>6</v>
      </c>
      <c r="P9" s="63">
        <v>7</v>
      </c>
      <c r="Q9" s="60">
        <v>3</v>
      </c>
      <c r="R9" s="61">
        <v>4</v>
      </c>
      <c r="S9" s="62">
        <v>5</v>
      </c>
      <c r="T9" s="61">
        <v>6</v>
      </c>
      <c r="U9" s="62">
        <v>7</v>
      </c>
      <c r="V9" s="61">
        <v>8</v>
      </c>
      <c r="W9" s="63">
        <v>9</v>
      </c>
      <c r="X9" s="60">
        <v>8</v>
      </c>
      <c r="Y9" s="61">
        <v>4</v>
      </c>
      <c r="Z9" s="62">
        <v>5</v>
      </c>
      <c r="AA9" s="61">
        <v>9</v>
      </c>
      <c r="AB9" s="62">
        <v>10</v>
      </c>
      <c r="AC9" s="61">
        <v>11</v>
      </c>
      <c r="AD9" s="63">
        <v>12</v>
      </c>
      <c r="AE9" s="60">
        <v>8</v>
      </c>
      <c r="AF9" s="61">
        <v>4</v>
      </c>
      <c r="AG9" s="62">
        <v>5</v>
      </c>
      <c r="AH9" s="61">
        <v>9</v>
      </c>
      <c r="AI9" s="62">
        <v>10</v>
      </c>
      <c r="AJ9" s="61">
        <v>11</v>
      </c>
      <c r="AK9" s="63">
        <v>12</v>
      </c>
      <c r="AL9" s="60">
        <v>10</v>
      </c>
      <c r="AM9" s="61">
        <v>11</v>
      </c>
      <c r="AN9" s="62">
        <v>12</v>
      </c>
      <c r="AO9" s="61">
        <v>13</v>
      </c>
      <c r="AP9" s="62">
        <v>14</v>
      </c>
      <c r="AQ9" s="61">
        <v>15</v>
      </c>
      <c r="AR9" s="63">
        <v>16</v>
      </c>
      <c r="AS9" s="60">
        <v>17</v>
      </c>
      <c r="AT9" s="61">
        <v>18</v>
      </c>
      <c r="AU9" s="62">
        <v>19</v>
      </c>
      <c r="AV9" s="61">
        <v>20</v>
      </c>
      <c r="AW9" s="62">
        <v>21</v>
      </c>
      <c r="AX9" s="61">
        <v>22</v>
      </c>
      <c r="AY9" s="63">
        <v>23</v>
      </c>
      <c r="AZ9" s="60">
        <v>24</v>
      </c>
      <c r="BA9" s="61">
        <v>25</v>
      </c>
      <c r="BB9" s="62">
        <v>26</v>
      </c>
      <c r="BC9" s="61">
        <v>27</v>
      </c>
      <c r="BD9" s="62">
        <v>28</v>
      </c>
      <c r="BE9" s="61">
        <v>29</v>
      </c>
      <c r="BF9" s="64">
        <v>30</v>
      </c>
      <c r="BG9" s="60">
        <v>31</v>
      </c>
      <c r="BH9" s="61">
        <v>32</v>
      </c>
      <c r="BI9" s="62">
        <v>33</v>
      </c>
      <c r="BJ9" s="61">
        <v>34</v>
      </c>
      <c r="BK9" s="62">
        <v>35</v>
      </c>
      <c r="BL9" s="61">
        <v>36</v>
      </c>
      <c r="BM9" s="64">
        <v>37</v>
      </c>
      <c r="BN9" s="60">
        <v>38</v>
      </c>
      <c r="BO9" s="61">
        <v>39</v>
      </c>
      <c r="BP9" s="62">
        <v>40</v>
      </c>
      <c r="BQ9" s="61">
        <v>41</v>
      </c>
      <c r="BR9" s="62">
        <v>42</v>
      </c>
      <c r="BS9" s="61">
        <v>43</v>
      </c>
      <c r="BT9" s="64">
        <v>44</v>
      </c>
      <c r="BU9" s="60">
        <v>45</v>
      </c>
      <c r="BV9" s="61">
        <v>46</v>
      </c>
      <c r="BW9" s="62">
        <v>47</v>
      </c>
      <c r="BX9" s="61">
        <v>48</v>
      </c>
      <c r="BY9" s="62">
        <v>49</v>
      </c>
      <c r="BZ9" s="61">
        <v>50</v>
      </c>
      <c r="CA9" s="64">
        <v>51</v>
      </c>
      <c r="CB9" s="61">
        <v>52</v>
      </c>
      <c r="CC9" s="64">
        <v>53</v>
      </c>
      <c r="CD9" s="61">
        <v>54</v>
      </c>
      <c r="CE9" s="64">
        <v>55</v>
      </c>
      <c r="CF9" s="61">
        <v>56</v>
      </c>
      <c r="CG9" s="64">
        <v>57</v>
      </c>
      <c r="CH9" s="61">
        <v>58</v>
      </c>
      <c r="CI9" s="64">
        <v>59</v>
      </c>
      <c r="CJ9" s="61">
        <v>60</v>
      </c>
      <c r="CK9" s="64">
        <v>61</v>
      </c>
      <c r="CL9" s="61">
        <v>62</v>
      </c>
      <c r="CM9" s="63">
        <v>63</v>
      </c>
      <c r="CN9" s="61">
        <v>64</v>
      </c>
      <c r="CO9" s="64">
        <v>65</v>
      </c>
      <c r="CP9" s="63">
        <v>66</v>
      </c>
      <c r="CQ9" s="61">
        <v>67</v>
      </c>
      <c r="CR9" s="63">
        <v>68</v>
      </c>
      <c r="CS9" s="61">
        <v>69</v>
      </c>
      <c r="CT9" s="63">
        <v>70</v>
      </c>
      <c r="CU9" s="61">
        <v>71</v>
      </c>
      <c r="CV9" s="64">
        <v>72</v>
      </c>
      <c r="CW9" s="63">
        <v>73</v>
      </c>
      <c r="CX9" s="61">
        <v>74</v>
      </c>
      <c r="CY9" s="63">
        <v>75</v>
      </c>
      <c r="CZ9" s="61">
        <v>76</v>
      </c>
      <c r="DA9" s="63">
        <v>77</v>
      </c>
      <c r="DB9" s="61">
        <v>78</v>
      </c>
      <c r="DC9" s="64">
        <v>79</v>
      </c>
      <c r="DD9" s="63">
        <v>73</v>
      </c>
      <c r="DE9" s="61">
        <v>74</v>
      </c>
      <c r="DF9" s="63">
        <v>75</v>
      </c>
      <c r="DG9" s="61">
        <v>76</v>
      </c>
      <c r="DH9" s="63">
        <v>77</v>
      </c>
      <c r="DI9" s="61">
        <v>78</v>
      </c>
      <c r="DJ9" s="64">
        <v>79</v>
      </c>
    </row>
    <row r="10" spans="1:114" ht="25.2" customHeight="1" x14ac:dyDescent="0.25">
      <c r="A10" s="66">
        <v>1</v>
      </c>
      <c r="B10" s="67" t="s">
        <v>10</v>
      </c>
      <c r="C10" s="68" t="e">
        <f>Grundtabelle!#REF!</f>
        <v>#REF!</v>
      </c>
      <c r="D10" s="69" t="e">
        <f>C10-F10-H10</f>
        <v>#REF!</v>
      </c>
      <c r="E10" s="70" t="e">
        <f>D10*100/C10</f>
        <v>#REF!</v>
      </c>
      <c r="F10" s="69">
        <v>60</v>
      </c>
      <c r="G10" s="70" t="e">
        <f t="shared" ref="G10:G19" si="0">F10*100/C10</f>
        <v>#REF!</v>
      </c>
      <c r="H10" s="69">
        <v>34</v>
      </c>
      <c r="I10" s="71" t="e">
        <f t="shared" ref="I10:I19" si="1">H10*100/C10</f>
        <v>#REF!</v>
      </c>
      <c r="J10" s="68">
        <v>474</v>
      </c>
      <c r="K10" s="69">
        <f>J10-M10-O10</f>
        <v>384</v>
      </c>
      <c r="L10" s="70">
        <f>K10*100/J10</f>
        <v>81.012658227848107</v>
      </c>
      <c r="M10" s="69">
        <v>58</v>
      </c>
      <c r="N10" s="70">
        <f>M10*100/J10</f>
        <v>12.236286919831224</v>
      </c>
      <c r="O10" s="69">
        <v>32</v>
      </c>
      <c r="P10" s="71">
        <f>O10*100/J10</f>
        <v>6.7510548523206753</v>
      </c>
      <c r="Q10" s="68">
        <v>485</v>
      </c>
      <c r="R10" s="69">
        <f>Q10-T10-V10</f>
        <v>406</v>
      </c>
      <c r="S10" s="70">
        <f>R10*100/Q10</f>
        <v>83.711340206185568</v>
      </c>
      <c r="T10" s="69">
        <v>50</v>
      </c>
      <c r="U10" s="70">
        <f>T10*100/Q10</f>
        <v>10.309278350515465</v>
      </c>
      <c r="V10" s="69">
        <v>29</v>
      </c>
      <c r="W10" s="71">
        <f>V10*100/Q10</f>
        <v>5.9793814432989691</v>
      </c>
      <c r="X10" s="68">
        <v>555</v>
      </c>
      <c r="Y10" s="69" t="e">
        <f>X10-AA10-AC10</f>
        <v>#REF!</v>
      </c>
      <c r="Z10" s="70" t="e">
        <f>Y10*100/X10</f>
        <v>#REF!</v>
      </c>
      <c r="AA10" s="69">
        <v>43</v>
      </c>
      <c r="AB10" s="70">
        <f>AA10*100/X10</f>
        <v>7.7477477477477477</v>
      </c>
      <c r="AC10" s="69" t="e">
        <f>Grundtabelle!#REF!</f>
        <v>#REF!</v>
      </c>
      <c r="AD10" s="72" t="e">
        <f>AC10*100/X10</f>
        <v>#REF!</v>
      </c>
      <c r="AE10" s="68" t="e">
        <f>Grundtabelle!#REF!</f>
        <v>#REF!</v>
      </c>
      <c r="AF10" s="69" t="e">
        <f>AE10-AH10-AJ10</f>
        <v>#REF!</v>
      </c>
      <c r="AG10" s="70" t="e">
        <f>AF10*100/AE10</f>
        <v>#REF!</v>
      </c>
      <c r="AH10" s="69">
        <v>35</v>
      </c>
      <c r="AI10" s="70" t="e">
        <f>AH10*100/AE10</f>
        <v>#REF!</v>
      </c>
      <c r="AJ10" s="69">
        <v>22</v>
      </c>
      <c r="AK10" s="72" t="e">
        <f>AJ10*100/AE10</f>
        <v>#REF!</v>
      </c>
      <c r="AL10" s="68">
        <v>559</v>
      </c>
      <c r="AM10" s="69">
        <f>AL10-AO10-AQ10</f>
        <v>516</v>
      </c>
      <c r="AN10" s="70">
        <f>AM10*100/AL10</f>
        <v>92.307692307692307</v>
      </c>
      <c r="AO10" s="69">
        <v>24</v>
      </c>
      <c r="AP10" s="70">
        <f>AO10*100/AL10</f>
        <v>4.2933810375670838</v>
      </c>
      <c r="AQ10" s="69">
        <v>19</v>
      </c>
      <c r="AR10" s="72">
        <f>AQ10*100/AL10</f>
        <v>3.3989266547406083</v>
      </c>
      <c r="AS10" s="68">
        <v>557</v>
      </c>
      <c r="AT10" s="69">
        <f>AS10-AV10-AX10</f>
        <v>514</v>
      </c>
      <c r="AU10" s="70">
        <f>AT10*100/AS10</f>
        <v>92.28007181328546</v>
      </c>
      <c r="AV10" s="69">
        <v>24</v>
      </c>
      <c r="AW10" s="70">
        <f>AV10*100/AS10</f>
        <v>4.3087971274685817</v>
      </c>
      <c r="AX10" s="69">
        <v>19</v>
      </c>
      <c r="AY10" s="72">
        <f>AX10*100/AS10</f>
        <v>3.4111310592459607</v>
      </c>
      <c r="AZ10" s="68">
        <v>541</v>
      </c>
      <c r="BA10" s="69">
        <f>AZ10-BC10-BE10</f>
        <v>510</v>
      </c>
      <c r="BB10" s="70">
        <f>BA10*100/AZ10</f>
        <v>94.26987060998151</v>
      </c>
      <c r="BC10" s="69">
        <v>15</v>
      </c>
      <c r="BD10" s="70">
        <f>BC10*100/AZ10</f>
        <v>2.7726432532347505</v>
      </c>
      <c r="BE10" s="69">
        <v>16</v>
      </c>
      <c r="BF10" s="73">
        <f>BE10*100/AZ10</f>
        <v>2.957486136783734</v>
      </c>
      <c r="BG10" s="68">
        <v>542</v>
      </c>
      <c r="BH10" s="69">
        <f>BG10-BJ10-BL10</f>
        <v>513</v>
      </c>
      <c r="BI10" s="70">
        <f>BH10*100/BG10</f>
        <v>94.649446494464939</v>
      </c>
      <c r="BJ10" s="69">
        <v>9</v>
      </c>
      <c r="BK10" s="70">
        <f>BJ10*100/BG10</f>
        <v>1.6605166051660516</v>
      </c>
      <c r="BL10" s="69">
        <v>20</v>
      </c>
      <c r="BM10" s="73">
        <f>BL10*100/BG10</f>
        <v>3.6900369003690039</v>
      </c>
      <c r="BN10" s="68">
        <v>549</v>
      </c>
      <c r="BO10" s="69">
        <f>BN10-BQ10-BS10</f>
        <v>513</v>
      </c>
      <c r="BP10" s="70">
        <f>BO10*100/BN10</f>
        <v>93.442622950819668</v>
      </c>
      <c r="BQ10" s="69">
        <v>13</v>
      </c>
      <c r="BR10" s="70">
        <f>BQ10*100/BN10</f>
        <v>2.3679417122040074</v>
      </c>
      <c r="BS10" s="69">
        <v>23</v>
      </c>
      <c r="BT10" s="73">
        <f>BS10*100/BN10</f>
        <v>4.1894353369763202</v>
      </c>
      <c r="BU10" s="68">
        <v>559</v>
      </c>
      <c r="BV10" s="69">
        <f>BU10-BX10-BZ10</f>
        <v>524</v>
      </c>
      <c r="BW10" s="70">
        <f>BV10*100/BU10</f>
        <v>93.738819320214674</v>
      </c>
      <c r="BX10" s="69">
        <v>7</v>
      </c>
      <c r="BY10" s="70">
        <f>BX10*100/BU10</f>
        <v>1.2522361359570662</v>
      </c>
      <c r="BZ10" s="69">
        <v>28</v>
      </c>
      <c r="CA10" s="73">
        <f>BZ10*100/BU10</f>
        <v>5.0089445438282647</v>
      </c>
      <c r="CB10" s="68">
        <v>551</v>
      </c>
      <c r="CC10" s="69">
        <f>CB10-CE10-CG10</f>
        <v>518</v>
      </c>
      <c r="CD10" s="70">
        <f>CC10*100/CB10</f>
        <v>94.010889292196012</v>
      </c>
      <c r="CE10" s="69">
        <v>5</v>
      </c>
      <c r="CF10" s="70">
        <f>CE10*100/CB10</f>
        <v>0.90744101633393826</v>
      </c>
      <c r="CG10" s="69">
        <v>28</v>
      </c>
      <c r="CH10" s="73">
        <f>CG10*100/CB10</f>
        <v>5.0816696914700543</v>
      </c>
      <c r="CI10" s="68">
        <v>557</v>
      </c>
      <c r="CJ10" s="76">
        <f>CI10-CL10-CN10</f>
        <v>526</v>
      </c>
      <c r="CK10" s="70">
        <f>CJ10*100/CI10</f>
        <v>94.43447037701975</v>
      </c>
      <c r="CL10" s="69">
        <v>4</v>
      </c>
      <c r="CM10" s="70">
        <f>CL10*100/CI10</f>
        <v>0.71813285457809695</v>
      </c>
      <c r="CN10" s="69">
        <v>27</v>
      </c>
      <c r="CO10" s="73">
        <f>CN10*100/CI10</f>
        <v>4.8473967684021542</v>
      </c>
      <c r="CP10" s="68">
        <v>557</v>
      </c>
      <c r="CQ10" s="76">
        <f>CP10-CS10-CU10</f>
        <v>533</v>
      </c>
      <c r="CR10" s="70">
        <f>CQ10*100/CP10</f>
        <v>95.69120287253142</v>
      </c>
      <c r="CS10" s="69">
        <v>2</v>
      </c>
      <c r="CT10" s="70">
        <f>CS10*100/CP10</f>
        <v>0.35906642728904847</v>
      </c>
      <c r="CU10" s="69">
        <v>22</v>
      </c>
      <c r="CV10" s="73">
        <f>CU10*100/CP10</f>
        <v>3.9497307001795332</v>
      </c>
      <c r="CW10" s="68">
        <v>555</v>
      </c>
      <c r="CX10" s="76">
        <f>CW10-CZ10-DB10</f>
        <v>529</v>
      </c>
      <c r="CY10" s="70">
        <f>CX10*100/CW10</f>
        <v>95.315315315315317</v>
      </c>
      <c r="CZ10" s="69">
        <v>4</v>
      </c>
      <c r="DA10" s="70">
        <f>CZ10*100/CW10</f>
        <v>0.72072072072072069</v>
      </c>
      <c r="DB10" s="69">
        <v>22</v>
      </c>
      <c r="DC10" s="73">
        <f>DB10*100/CW10</f>
        <v>3.9639639639639639</v>
      </c>
      <c r="DD10" s="68"/>
      <c r="DE10" s="76">
        <f>DD10-DG10-DI10</f>
        <v>0</v>
      </c>
      <c r="DF10" s="70" t="e">
        <f>DE10*100/DD10</f>
        <v>#DIV/0!</v>
      </c>
      <c r="DG10" s="69"/>
      <c r="DH10" s="70" t="e">
        <f>DG10*100/DD10</f>
        <v>#DIV/0!</v>
      </c>
      <c r="DI10" s="69"/>
      <c r="DJ10" s="73" t="e">
        <f>DI10*100/DD10</f>
        <v>#DIV/0!</v>
      </c>
    </row>
    <row r="11" spans="1:114" ht="25.2" customHeight="1" x14ac:dyDescent="0.25">
      <c r="A11" s="74">
        <f t="shared" ref="A11:A18" si="2">A10+1</f>
        <v>2</v>
      </c>
      <c r="B11" s="75" t="s">
        <v>11</v>
      </c>
      <c r="C11" s="74" t="e">
        <f>Grundtabelle!#REF!</f>
        <v>#REF!</v>
      </c>
      <c r="D11" s="76" t="e">
        <f t="shared" ref="D11:D19" si="3">C11-F11-H11</f>
        <v>#REF!</v>
      </c>
      <c r="E11" s="77" t="e">
        <f t="shared" ref="E11:E19" si="4">D11*100/C11</f>
        <v>#REF!</v>
      </c>
      <c r="F11" s="76">
        <v>81</v>
      </c>
      <c r="G11" s="77" t="e">
        <f t="shared" si="0"/>
        <v>#REF!</v>
      </c>
      <c r="H11" s="76">
        <v>32</v>
      </c>
      <c r="I11" s="78" t="e">
        <f t="shared" si="1"/>
        <v>#REF!</v>
      </c>
      <c r="J11" s="74">
        <v>478</v>
      </c>
      <c r="K11" s="76">
        <f t="shared" ref="K11:K19" si="5">J11-M11-O11</f>
        <v>374</v>
      </c>
      <c r="L11" s="77">
        <f t="shared" ref="L11:L19" si="6">K11*100/J11</f>
        <v>78.242677824267787</v>
      </c>
      <c r="M11" s="76">
        <v>72</v>
      </c>
      <c r="N11" s="77">
        <f t="shared" ref="N11:N19" si="7">M11*100/J11</f>
        <v>15.06276150627615</v>
      </c>
      <c r="O11" s="76">
        <v>32</v>
      </c>
      <c r="P11" s="78">
        <f t="shared" ref="P11:P18" si="8">O11*100/J11</f>
        <v>6.6945606694560666</v>
      </c>
      <c r="Q11" s="74">
        <v>493</v>
      </c>
      <c r="R11" s="76">
        <f t="shared" ref="R11:R19" si="9">Q11-T11-V11</f>
        <v>377</v>
      </c>
      <c r="S11" s="77">
        <f t="shared" ref="S11:S19" si="10">R11*100/Q11</f>
        <v>76.470588235294116</v>
      </c>
      <c r="T11" s="76">
        <v>84</v>
      </c>
      <c r="U11" s="77">
        <f t="shared" ref="U11:U19" si="11">T11*100/Q11</f>
        <v>17.038539553752535</v>
      </c>
      <c r="V11" s="76">
        <v>32</v>
      </c>
      <c r="W11" s="78">
        <f t="shared" ref="W11:W18" si="12">V11*100/Q11</f>
        <v>6.4908722109533468</v>
      </c>
      <c r="X11" s="74">
        <v>502</v>
      </c>
      <c r="Y11" s="76" t="e">
        <f t="shared" ref="Y11:Y19" si="13">X11-AA11-AC11</f>
        <v>#REF!</v>
      </c>
      <c r="Z11" s="77" t="e">
        <f t="shared" ref="Z11:Z19" si="14">Y11*100/X11</f>
        <v>#REF!</v>
      </c>
      <c r="AA11" s="76">
        <v>81</v>
      </c>
      <c r="AB11" s="77">
        <f t="shared" ref="AB11:AB19" si="15">AA11*100/X11</f>
        <v>16.135458167330679</v>
      </c>
      <c r="AC11" s="76" t="e">
        <f>Grundtabelle!#REF!</f>
        <v>#REF!</v>
      </c>
      <c r="AD11" s="79" t="e">
        <f t="shared" ref="AD11:AD19" si="16">AC11*100/X11</f>
        <v>#REF!</v>
      </c>
      <c r="AE11" s="74" t="e">
        <f>Grundtabelle!#REF!</f>
        <v>#REF!</v>
      </c>
      <c r="AF11" s="76" t="e">
        <f t="shared" ref="AF11:AF19" si="17">AE11-AH11-AJ11</f>
        <v>#REF!</v>
      </c>
      <c r="AG11" s="77" t="e">
        <f t="shared" ref="AG11:AG19" si="18">AF11*100/AE11</f>
        <v>#REF!</v>
      </c>
      <c r="AH11" s="76">
        <v>75</v>
      </c>
      <c r="AI11" s="77" t="e">
        <f t="shared" ref="AI11:AI19" si="19">AH11*100/AE11</f>
        <v>#REF!</v>
      </c>
      <c r="AJ11" s="76">
        <v>36</v>
      </c>
      <c r="AK11" s="79" t="e">
        <f t="shared" ref="AK11:AK19" si="20">AJ11*100/AE11</f>
        <v>#REF!</v>
      </c>
      <c r="AL11" s="74">
        <v>525</v>
      </c>
      <c r="AM11" s="76">
        <f t="shared" ref="AM11:AM19" si="21">AL11-AO11-AQ11</f>
        <v>431</v>
      </c>
      <c r="AN11" s="77">
        <f t="shared" ref="AN11:AN19" si="22">AM11*100/AL11</f>
        <v>82.095238095238102</v>
      </c>
      <c r="AO11" s="76">
        <v>56</v>
      </c>
      <c r="AP11" s="77">
        <f t="shared" ref="AP11:AP19" si="23">AO11*100/AL11</f>
        <v>10.666666666666666</v>
      </c>
      <c r="AQ11" s="76">
        <v>38</v>
      </c>
      <c r="AR11" s="79">
        <f t="shared" ref="AR11:AR19" si="24">AQ11*100/AL11</f>
        <v>7.2380952380952381</v>
      </c>
      <c r="AS11" s="74">
        <v>495</v>
      </c>
      <c r="AT11" s="76">
        <f t="shared" ref="AT11:AT19" si="25">AS11-AV11-AX11</f>
        <v>418</v>
      </c>
      <c r="AU11" s="77">
        <f t="shared" ref="AU11:AU19" si="26">AT11*100/AS11</f>
        <v>84.444444444444443</v>
      </c>
      <c r="AV11" s="76">
        <v>42</v>
      </c>
      <c r="AW11" s="77">
        <f t="shared" ref="AW11:AW19" si="27">AV11*100/AS11</f>
        <v>8.4848484848484844</v>
      </c>
      <c r="AX11" s="76">
        <v>35</v>
      </c>
      <c r="AY11" s="79">
        <f t="shared" ref="AY11:AY19" si="28">AX11*100/AS11</f>
        <v>7.0707070707070709</v>
      </c>
      <c r="AZ11" s="74">
        <v>434</v>
      </c>
      <c r="BA11" s="76">
        <f t="shared" ref="BA11:BA19" si="29">AZ11-BC11-BE11</f>
        <v>391</v>
      </c>
      <c r="BB11" s="77">
        <f t="shared" ref="BB11:BB19" si="30">BA11*100/AZ11</f>
        <v>90.092165898617509</v>
      </c>
      <c r="BC11" s="76">
        <v>10</v>
      </c>
      <c r="BD11" s="77">
        <f t="shared" ref="BD11:BD19" si="31">BC11*100/AZ11</f>
        <v>2.3041474654377878</v>
      </c>
      <c r="BE11" s="76">
        <v>33</v>
      </c>
      <c r="BF11" s="80">
        <f t="shared" ref="BF11:BF19" si="32">BE11*100/AZ11</f>
        <v>7.6036866359447002</v>
      </c>
      <c r="BG11" s="74">
        <v>413</v>
      </c>
      <c r="BH11" s="76">
        <f t="shared" ref="BH11:BH19" si="33">BG11-BJ11-BL11</f>
        <v>369</v>
      </c>
      <c r="BI11" s="77">
        <f t="shared" ref="BI11:BI19" si="34">BH11*100/BG11</f>
        <v>89.346246973365623</v>
      </c>
      <c r="BJ11" s="76">
        <v>12</v>
      </c>
      <c r="BK11" s="77">
        <f t="shared" ref="BK11:BK19" si="35">BJ11*100/BG11</f>
        <v>2.9055690072639226</v>
      </c>
      <c r="BL11" s="76">
        <v>32</v>
      </c>
      <c r="BM11" s="80">
        <f t="shared" ref="BM11:BM19" si="36">BL11*100/BG11</f>
        <v>7.7481840193704601</v>
      </c>
      <c r="BN11" s="74">
        <v>405</v>
      </c>
      <c r="BO11" s="76">
        <f t="shared" ref="BO11:BO19" si="37">BN11-BQ11-BS11</f>
        <v>349</v>
      </c>
      <c r="BP11" s="77">
        <f t="shared" ref="BP11:BP19" si="38">BO11*100/BN11</f>
        <v>86.172839506172835</v>
      </c>
      <c r="BQ11" s="76">
        <v>24</v>
      </c>
      <c r="BR11" s="77">
        <f t="shared" ref="BR11:BR19" si="39">BQ11*100/BN11</f>
        <v>5.9259259259259256</v>
      </c>
      <c r="BS11" s="76">
        <v>32</v>
      </c>
      <c r="BT11" s="80">
        <f t="shared" ref="BT11:BT19" si="40">BS11*100/BN11</f>
        <v>7.9012345679012341</v>
      </c>
      <c r="BU11" s="74">
        <v>401</v>
      </c>
      <c r="BV11" s="76">
        <f t="shared" ref="BV11:BV19" si="41">BU11-BX11-BZ11</f>
        <v>353</v>
      </c>
      <c r="BW11" s="77">
        <f t="shared" ref="BW11:BW19" si="42">BV11*100/BU11</f>
        <v>88.029925187032418</v>
      </c>
      <c r="BX11" s="76">
        <v>13</v>
      </c>
      <c r="BY11" s="77">
        <f t="shared" ref="BY11:BY19" si="43">BX11*100/BU11</f>
        <v>3.2418952618453867</v>
      </c>
      <c r="BZ11" s="76">
        <v>35</v>
      </c>
      <c r="CA11" s="80">
        <f t="shared" ref="CA11:CA19" si="44">BZ11*100/BU11</f>
        <v>8.728179551122194</v>
      </c>
      <c r="CB11" s="74">
        <v>337</v>
      </c>
      <c r="CC11" s="76">
        <f t="shared" ref="CC11:CC19" si="45">CB11-CE11-CG11</f>
        <v>302</v>
      </c>
      <c r="CD11" s="77">
        <f t="shared" ref="CD11:CD19" si="46">CC11*100/CB11</f>
        <v>89.614243323442139</v>
      </c>
      <c r="CE11" s="76">
        <v>8</v>
      </c>
      <c r="CF11" s="77">
        <f t="shared" ref="CF11:CF19" si="47">CE11*100/CB11</f>
        <v>2.3738872403560829</v>
      </c>
      <c r="CG11" s="76">
        <v>27</v>
      </c>
      <c r="CH11" s="80">
        <f t="shared" ref="CH11:CH19" si="48">CG11*100/CB11</f>
        <v>8.0118694362017813</v>
      </c>
      <c r="CI11" s="74">
        <v>356</v>
      </c>
      <c r="CJ11" s="76">
        <f>CI11-CL11-CN11</f>
        <v>317</v>
      </c>
      <c r="CK11" s="77">
        <f t="shared" ref="CK11:CK19" si="49">CJ11*100/CI11</f>
        <v>89.044943820224717</v>
      </c>
      <c r="CL11" s="76">
        <v>5</v>
      </c>
      <c r="CM11" s="77">
        <f t="shared" ref="CM11:CM19" si="50">CL11*100/CI11</f>
        <v>1.404494382022472</v>
      </c>
      <c r="CN11" s="76">
        <v>34</v>
      </c>
      <c r="CO11" s="80">
        <f t="shared" ref="CO11:CO19" si="51">CN11*100/CI11</f>
        <v>9.5505617977528097</v>
      </c>
      <c r="CP11" s="74">
        <v>358</v>
      </c>
      <c r="CQ11" s="76">
        <f>CP11-CS11-CU11</f>
        <v>321</v>
      </c>
      <c r="CR11" s="77">
        <f t="shared" ref="CR11:CR19" si="52">CQ11*100/CP11</f>
        <v>89.664804469273747</v>
      </c>
      <c r="CS11" s="76">
        <v>4</v>
      </c>
      <c r="CT11" s="77">
        <f t="shared" ref="CT11:CT19" si="53">CS11*100/CP11</f>
        <v>1.1173184357541899</v>
      </c>
      <c r="CU11" s="76">
        <v>33</v>
      </c>
      <c r="CV11" s="80">
        <f t="shared" ref="CV11:CV19" si="54">CU11*100/CP11</f>
        <v>9.2178770949720672</v>
      </c>
      <c r="CW11" s="74">
        <v>341</v>
      </c>
      <c r="CX11" s="76">
        <f>CW11-CZ11-DB11</f>
        <v>306</v>
      </c>
      <c r="CY11" s="77">
        <f t="shared" ref="CY11:CY19" si="55">CX11*100/CW11</f>
        <v>89.73607038123167</v>
      </c>
      <c r="CZ11" s="76">
        <v>1</v>
      </c>
      <c r="DA11" s="77">
        <f t="shared" ref="DA11:DA19" si="56">CZ11*100/CW11</f>
        <v>0.2932551319648094</v>
      </c>
      <c r="DB11" s="76">
        <v>34</v>
      </c>
      <c r="DC11" s="80">
        <f t="shared" ref="DC11:DC19" si="57">DB11*100/CW11</f>
        <v>9.9706744868035191</v>
      </c>
      <c r="DD11" s="74">
        <v>325</v>
      </c>
      <c r="DE11" s="76">
        <f>DD11-DG11-DI11</f>
        <v>299</v>
      </c>
      <c r="DF11" s="77">
        <f t="shared" ref="DF11:DF19" si="58">DE11*100/DD11</f>
        <v>92</v>
      </c>
      <c r="DG11" s="76">
        <v>0</v>
      </c>
      <c r="DH11" s="77">
        <f t="shared" ref="DH11:DH19" si="59">DG11*100/DD11</f>
        <v>0</v>
      </c>
      <c r="DI11" s="76">
        <v>26</v>
      </c>
      <c r="DJ11" s="80">
        <f t="shared" ref="DJ11:DJ19" si="60">DI11*100/DD11</f>
        <v>8</v>
      </c>
    </row>
    <row r="12" spans="1:114" ht="25.2" customHeight="1" x14ac:dyDescent="0.25">
      <c r="A12" s="74">
        <f t="shared" si="2"/>
        <v>3</v>
      </c>
      <c r="B12" s="75" t="s">
        <v>22</v>
      </c>
      <c r="C12" s="74" t="e">
        <f>Grundtabelle!#REF!</f>
        <v>#REF!</v>
      </c>
      <c r="D12" s="76" t="e">
        <f t="shared" si="3"/>
        <v>#REF!</v>
      </c>
      <c r="E12" s="77" t="e">
        <f t="shared" si="4"/>
        <v>#REF!</v>
      </c>
      <c r="F12" s="76">
        <v>71</v>
      </c>
      <c r="G12" s="77" t="e">
        <f t="shared" si="0"/>
        <v>#REF!</v>
      </c>
      <c r="H12" s="76">
        <v>45</v>
      </c>
      <c r="I12" s="78" t="e">
        <f t="shared" si="1"/>
        <v>#REF!</v>
      </c>
      <c r="J12" s="74">
        <v>453</v>
      </c>
      <c r="K12" s="76">
        <f t="shared" si="5"/>
        <v>326</v>
      </c>
      <c r="L12" s="77">
        <f t="shared" si="6"/>
        <v>71.964679911699776</v>
      </c>
      <c r="M12" s="76">
        <v>81</v>
      </c>
      <c r="N12" s="77">
        <f t="shared" si="7"/>
        <v>17.880794701986755</v>
      </c>
      <c r="O12" s="76">
        <v>46</v>
      </c>
      <c r="P12" s="78">
        <f t="shared" si="8"/>
        <v>10.154525386313466</v>
      </c>
      <c r="Q12" s="74">
        <v>474</v>
      </c>
      <c r="R12" s="76">
        <f t="shared" si="9"/>
        <v>331</v>
      </c>
      <c r="S12" s="77">
        <f t="shared" si="10"/>
        <v>69.831223628691987</v>
      </c>
      <c r="T12" s="76">
        <v>104</v>
      </c>
      <c r="U12" s="77">
        <f t="shared" si="11"/>
        <v>21.940928270042193</v>
      </c>
      <c r="V12" s="76">
        <v>39</v>
      </c>
      <c r="W12" s="78">
        <f t="shared" si="12"/>
        <v>8.2278481012658222</v>
      </c>
      <c r="X12" s="74">
        <v>510</v>
      </c>
      <c r="Y12" s="76" t="e">
        <f t="shared" si="13"/>
        <v>#REF!</v>
      </c>
      <c r="Z12" s="77" t="e">
        <f t="shared" si="14"/>
        <v>#REF!</v>
      </c>
      <c r="AA12" s="76">
        <v>117</v>
      </c>
      <c r="AB12" s="77">
        <f t="shared" si="15"/>
        <v>22.941176470588236</v>
      </c>
      <c r="AC12" s="76" t="e">
        <f>Grundtabelle!#REF!</f>
        <v>#REF!</v>
      </c>
      <c r="AD12" s="79" t="e">
        <f t="shared" si="16"/>
        <v>#REF!</v>
      </c>
      <c r="AE12" s="74" t="e">
        <f>Grundtabelle!#REF!</f>
        <v>#REF!</v>
      </c>
      <c r="AF12" s="76" t="e">
        <f t="shared" si="17"/>
        <v>#REF!</v>
      </c>
      <c r="AG12" s="77" t="e">
        <f t="shared" si="18"/>
        <v>#REF!</v>
      </c>
      <c r="AH12" s="76">
        <v>98</v>
      </c>
      <c r="AI12" s="77" t="e">
        <f t="shared" si="19"/>
        <v>#REF!</v>
      </c>
      <c r="AJ12" s="76">
        <v>48</v>
      </c>
      <c r="AK12" s="79" t="e">
        <f t="shared" si="20"/>
        <v>#REF!</v>
      </c>
      <c r="AL12" s="74">
        <v>521</v>
      </c>
      <c r="AM12" s="76">
        <f t="shared" si="21"/>
        <v>372</v>
      </c>
      <c r="AN12" s="77">
        <f t="shared" si="22"/>
        <v>71.40115163147793</v>
      </c>
      <c r="AO12" s="76">
        <v>92</v>
      </c>
      <c r="AP12" s="77">
        <f t="shared" si="23"/>
        <v>17.658349328214971</v>
      </c>
      <c r="AQ12" s="76">
        <v>57</v>
      </c>
      <c r="AR12" s="79">
        <f t="shared" si="24"/>
        <v>10.940499040307103</v>
      </c>
      <c r="AS12" s="74">
        <v>527</v>
      </c>
      <c r="AT12" s="76">
        <f t="shared" si="25"/>
        <v>379</v>
      </c>
      <c r="AU12" s="77">
        <f t="shared" si="26"/>
        <v>71.916508538899436</v>
      </c>
      <c r="AV12" s="76">
        <v>79</v>
      </c>
      <c r="AW12" s="77">
        <f t="shared" si="27"/>
        <v>14.990512333965844</v>
      </c>
      <c r="AX12" s="76">
        <v>69</v>
      </c>
      <c r="AY12" s="79">
        <f t="shared" si="28"/>
        <v>13.092979127134726</v>
      </c>
      <c r="AZ12" s="74">
        <v>507</v>
      </c>
      <c r="BA12" s="76">
        <f t="shared" si="29"/>
        <v>347</v>
      </c>
      <c r="BB12" s="77">
        <f t="shared" si="30"/>
        <v>68.441814595660745</v>
      </c>
      <c r="BC12" s="76">
        <v>86</v>
      </c>
      <c r="BD12" s="77">
        <f t="shared" si="31"/>
        <v>16.962524654832347</v>
      </c>
      <c r="BE12" s="76">
        <v>74</v>
      </c>
      <c r="BF12" s="80">
        <f t="shared" si="32"/>
        <v>14.595660749506903</v>
      </c>
      <c r="BG12" s="74">
        <v>473</v>
      </c>
      <c r="BH12" s="76">
        <f t="shared" si="33"/>
        <v>344</v>
      </c>
      <c r="BI12" s="77">
        <f t="shared" si="34"/>
        <v>72.727272727272734</v>
      </c>
      <c r="BJ12" s="76">
        <v>59</v>
      </c>
      <c r="BK12" s="77">
        <f t="shared" si="35"/>
        <v>12.473572938689218</v>
      </c>
      <c r="BL12" s="76">
        <v>70</v>
      </c>
      <c r="BM12" s="80">
        <f t="shared" si="36"/>
        <v>14.799154334038056</v>
      </c>
      <c r="BN12" s="74">
        <v>453</v>
      </c>
      <c r="BO12" s="76">
        <f t="shared" si="37"/>
        <v>335</v>
      </c>
      <c r="BP12" s="77">
        <f t="shared" si="38"/>
        <v>73.951434878587193</v>
      </c>
      <c r="BQ12" s="76">
        <v>52</v>
      </c>
      <c r="BR12" s="77">
        <f t="shared" si="39"/>
        <v>11.479028697571744</v>
      </c>
      <c r="BS12" s="76">
        <v>66</v>
      </c>
      <c r="BT12" s="80">
        <f t="shared" si="40"/>
        <v>14.569536423841059</v>
      </c>
      <c r="BU12" s="74">
        <v>437</v>
      </c>
      <c r="BV12" s="76">
        <f t="shared" si="41"/>
        <v>346</v>
      </c>
      <c r="BW12" s="77">
        <f t="shared" si="42"/>
        <v>79.17620137299771</v>
      </c>
      <c r="BX12" s="76">
        <v>37</v>
      </c>
      <c r="BY12" s="77">
        <f t="shared" si="43"/>
        <v>8.4668192219679632</v>
      </c>
      <c r="BZ12" s="76">
        <v>54</v>
      </c>
      <c r="CA12" s="80">
        <f t="shared" si="44"/>
        <v>12.356979405034325</v>
      </c>
      <c r="CB12" s="74">
        <v>432</v>
      </c>
      <c r="CC12" s="76">
        <f t="shared" si="45"/>
        <v>333</v>
      </c>
      <c r="CD12" s="77">
        <f t="shared" si="46"/>
        <v>77.083333333333329</v>
      </c>
      <c r="CE12" s="76">
        <v>45</v>
      </c>
      <c r="CF12" s="77">
        <f t="shared" si="47"/>
        <v>10.416666666666666</v>
      </c>
      <c r="CG12" s="76">
        <v>54</v>
      </c>
      <c r="CH12" s="80">
        <f t="shared" si="48"/>
        <v>12.5</v>
      </c>
      <c r="CI12" s="74">
        <v>410</v>
      </c>
      <c r="CJ12" s="76">
        <f t="shared" ref="CJ12:CJ18" si="61">CI12-CL12-CN12</f>
        <v>327</v>
      </c>
      <c r="CK12" s="77">
        <f t="shared" si="49"/>
        <v>79.756097560975604</v>
      </c>
      <c r="CL12" s="76">
        <v>36</v>
      </c>
      <c r="CM12" s="77">
        <f t="shared" si="50"/>
        <v>8.7804878048780495</v>
      </c>
      <c r="CN12" s="76">
        <v>47</v>
      </c>
      <c r="CO12" s="80">
        <f t="shared" si="51"/>
        <v>11.463414634146341</v>
      </c>
      <c r="CP12" s="74">
        <v>432</v>
      </c>
      <c r="CQ12" s="76">
        <f t="shared" ref="CQ12:CQ18" si="62">CP12-CS12-CU12</f>
        <v>348</v>
      </c>
      <c r="CR12" s="77">
        <f t="shared" si="52"/>
        <v>80.555555555555557</v>
      </c>
      <c r="CS12" s="76">
        <v>27</v>
      </c>
      <c r="CT12" s="77">
        <f t="shared" si="53"/>
        <v>6.25</v>
      </c>
      <c r="CU12" s="76">
        <v>57</v>
      </c>
      <c r="CV12" s="80">
        <f t="shared" si="54"/>
        <v>13.194444444444445</v>
      </c>
      <c r="CW12" s="74">
        <v>454</v>
      </c>
      <c r="CX12" s="76">
        <f t="shared" ref="CX12:CX18" si="63">CW12-CZ12-DB12</f>
        <v>363</v>
      </c>
      <c r="CY12" s="77">
        <f t="shared" si="55"/>
        <v>79.955947136563879</v>
      </c>
      <c r="CZ12" s="76">
        <v>24</v>
      </c>
      <c r="DA12" s="77">
        <f t="shared" si="56"/>
        <v>5.286343612334802</v>
      </c>
      <c r="DB12" s="76">
        <v>67</v>
      </c>
      <c r="DC12" s="80">
        <f t="shared" si="57"/>
        <v>14.757709251101321</v>
      </c>
      <c r="DD12" s="74"/>
      <c r="DE12" s="76">
        <f t="shared" ref="DE12:DE18" si="64">DD12-DG12-DI12</f>
        <v>0</v>
      </c>
      <c r="DF12" s="77" t="e">
        <f t="shared" si="58"/>
        <v>#DIV/0!</v>
      </c>
      <c r="DG12" s="76"/>
      <c r="DH12" s="77" t="e">
        <f t="shared" si="59"/>
        <v>#DIV/0!</v>
      </c>
      <c r="DI12" s="76"/>
      <c r="DJ12" s="80" t="e">
        <f t="shared" si="60"/>
        <v>#DIV/0!</v>
      </c>
    </row>
    <row r="13" spans="1:114" ht="25.2" customHeight="1" x14ac:dyDescent="0.25">
      <c r="A13" s="74">
        <f t="shared" si="2"/>
        <v>4</v>
      </c>
      <c r="B13" s="75" t="s">
        <v>21</v>
      </c>
      <c r="C13" s="74" t="e">
        <f>Grundtabelle!#REF!</f>
        <v>#REF!</v>
      </c>
      <c r="D13" s="76" t="e">
        <f t="shared" si="3"/>
        <v>#REF!</v>
      </c>
      <c r="E13" s="77" t="e">
        <f t="shared" si="4"/>
        <v>#REF!</v>
      </c>
      <c r="F13" s="76">
        <v>44</v>
      </c>
      <c r="G13" s="77" t="e">
        <f t="shared" si="0"/>
        <v>#REF!</v>
      </c>
      <c r="H13" s="76">
        <v>31</v>
      </c>
      <c r="I13" s="78" t="e">
        <f t="shared" si="1"/>
        <v>#REF!</v>
      </c>
      <c r="J13" s="74" t="e">
        <f>Grundtabelle!#REF!</f>
        <v>#REF!</v>
      </c>
      <c r="K13" s="76" t="e">
        <f t="shared" si="5"/>
        <v>#REF!</v>
      </c>
      <c r="L13" s="77" t="e">
        <f t="shared" si="6"/>
        <v>#REF!</v>
      </c>
      <c r="M13" s="76">
        <v>38</v>
      </c>
      <c r="N13" s="77" t="e">
        <f t="shared" si="7"/>
        <v>#REF!</v>
      </c>
      <c r="O13" s="76">
        <v>37</v>
      </c>
      <c r="P13" s="78" t="e">
        <f t="shared" si="8"/>
        <v>#REF!</v>
      </c>
      <c r="Q13" s="74">
        <v>462</v>
      </c>
      <c r="R13" s="76">
        <f t="shared" si="9"/>
        <v>374</v>
      </c>
      <c r="S13" s="77">
        <f t="shared" si="10"/>
        <v>80.952380952380949</v>
      </c>
      <c r="T13" s="76">
        <v>54</v>
      </c>
      <c r="U13" s="77">
        <f t="shared" si="11"/>
        <v>11.688311688311689</v>
      </c>
      <c r="V13" s="76">
        <v>34</v>
      </c>
      <c r="W13" s="78">
        <f t="shared" si="12"/>
        <v>7.3593073593073592</v>
      </c>
      <c r="X13" s="74">
        <v>590</v>
      </c>
      <c r="Y13" s="76" t="e">
        <f t="shared" si="13"/>
        <v>#REF!</v>
      </c>
      <c r="Z13" s="77" t="e">
        <f t="shared" si="14"/>
        <v>#REF!</v>
      </c>
      <c r="AA13" s="76">
        <v>59</v>
      </c>
      <c r="AB13" s="77">
        <f t="shared" si="15"/>
        <v>10</v>
      </c>
      <c r="AC13" s="76" t="e">
        <f>Grundtabelle!#REF!</f>
        <v>#REF!</v>
      </c>
      <c r="AD13" s="79" t="e">
        <f t="shared" si="16"/>
        <v>#REF!</v>
      </c>
      <c r="AE13" s="74" t="e">
        <f>Grundtabelle!#REF!</f>
        <v>#REF!</v>
      </c>
      <c r="AF13" s="76" t="e">
        <f t="shared" si="17"/>
        <v>#REF!</v>
      </c>
      <c r="AG13" s="77" t="e">
        <f t="shared" si="18"/>
        <v>#REF!</v>
      </c>
      <c r="AH13" s="76">
        <v>57</v>
      </c>
      <c r="AI13" s="77" t="e">
        <f t="shared" si="19"/>
        <v>#REF!</v>
      </c>
      <c r="AJ13" s="76">
        <v>57</v>
      </c>
      <c r="AK13" s="79" t="e">
        <f t="shared" si="20"/>
        <v>#REF!</v>
      </c>
      <c r="AL13" s="74">
        <v>626</v>
      </c>
      <c r="AM13" s="76">
        <f t="shared" si="21"/>
        <v>518</v>
      </c>
      <c r="AN13" s="77">
        <f t="shared" si="22"/>
        <v>82.74760383386581</v>
      </c>
      <c r="AO13" s="76">
        <v>57</v>
      </c>
      <c r="AP13" s="77">
        <f t="shared" si="23"/>
        <v>9.1054313099041533</v>
      </c>
      <c r="AQ13" s="76">
        <v>51</v>
      </c>
      <c r="AR13" s="79">
        <f t="shared" si="24"/>
        <v>8.1469648562300314</v>
      </c>
      <c r="AS13" s="74">
        <v>606</v>
      </c>
      <c r="AT13" s="76">
        <f t="shared" si="25"/>
        <v>529</v>
      </c>
      <c r="AU13" s="77">
        <f t="shared" si="26"/>
        <v>87.293729372937293</v>
      </c>
      <c r="AV13" s="76">
        <v>40</v>
      </c>
      <c r="AW13" s="77">
        <f t="shared" si="27"/>
        <v>6.6006600660066006</v>
      </c>
      <c r="AX13" s="76">
        <v>37</v>
      </c>
      <c r="AY13" s="79">
        <f t="shared" si="28"/>
        <v>6.105610561056106</v>
      </c>
      <c r="AZ13" s="74">
        <v>580</v>
      </c>
      <c r="BA13" s="76">
        <f t="shared" si="29"/>
        <v>504</v>
      </c>
      <c r="BB13" s="77">
        <f t="shared" si="30"/>
        <v>86.896551724137936</v>
      </c>
      <c r="BC13" s="76">
        <v>39</v>
      </c>
      <c r="BD13" s="77">
        <f t="shared" si="31"/>
        <v>6.7241379310344831</v>
      </c>
      <c r="BE13" s="76">
        <v>37</v>
      </c>
      <c r="BF13" s="80">
        <f t="shared" si="32"/>
        <v>6.3793103448275863</v>
      </c>
      <c r="BG13" s="74">
        <v>592</v>
      </c>
      <c r="BH13" s="76">
        <f t="shared" si="33"/>
        <v>517</v>
      </c>
      <c r="BI13" s="77">
        <f t="shared" si="34"/>
        <v>87.331081081081081</v>
      </c>
      <c r="BJ13" s="76">
        <v>39</v>
      </c>
      <c r="BK13" s="77">
        <f t="shared" si="35"/>
        <v>6.5878378378378377</v>
      </c>
      <c r="BL13" s="76">
        <v>36</v>
      </c>
      <c r="BM13" s="80">
        <f t="shared" si="36"/>
        <v>6.0810810810810807</v>
      </c>
      <c r="BN13" s="74">
        <v>548</v>
      </c>
      <c r="BO13" s="76">
        <f t="shared" si="37"/>
        <v>460</v>
      </c>
      <c r="BP13" s="77">
        <f t="shared" si="38"/>
        <v>83.941605839416056</v>
      </c>
      <c r="BQ13" s="76">
        <v>37</v>
      </c>
      <c r="BR13" s="77">
        <f t="shared" si="39"/>
        <v>6.7518248175182478</v>
      </c>
      <c r="BS13" s="76">
        <v>51</v>
      </c>
      <c r="BT13" s="80">
        <f t="shared" si="40"/>
        <v>9.3065693430656928</v>
      </c>
      <c r="BU13" s="74">
        <v>518</v>
      </c>
      <c r="BV13" s="76">
        <f t="shared" si="41"/>
        <v>443</v>
      </c>
      <c r="BW13" s="77">
        <f t="shared" si="42"/>
        <v>85.521235521235525</v>
      </c>
      <c r="BX13" s="76">
        <v>32</v>
      </c>
      <c r="BY13" s="77">
        <f t="shared" si="43"/>
        <v>6.1776061776061777</v>
      </c>
      <c r="BZ13" s="76">
        <v>43</v>
      </c>
      <c r="CA13" s="80">
        <f t="shared" si="44"/>
        <v>8.301158301158301</v>
      </c>
      <c r="CB13" s="74">
        <v>511</v>
      </c>
      <c r="CC13" s="76">
        <f t="shared" si="45"/>
        <v>471</v>
      </c>
      <c r="CD13" s="77">
        <f t="shared" si="46"/>
        <v>92.172211350293537</v>
      </c>
      <c r="CE13" s="76">
        <v>7</v>
      </c>
      <c r="CF13" s="77">
        <f t="shared" si="47"/>
        <v>1.3698630136986301</v>
      </c>
      <c r="CG13" s="76">
        <v>33</v>
      </c>
      <c r="CH13" s="80">
        <f t="shared" si="48"/>
        <v>6.4579256360078281</v>
      </c>
      <c r="CI13" s="74">
        <v>522</v>
      </c>
      <c r="CJ13" s="76">
        <f t="shared" si="61"/>
        <v>472</v>
      </c>
      <c r="CK13" s="77">
        <f t="shared" si="49"/>
        <v>90.421455938697321</v>
      </c>
      <c r="CL13" s="76">
        <v>4</v>
      </c>
      <c r="CM13" s="77">
        <f t="shared" si="50"/>
        <v>0.76628352490421459</v>
      </c>
      <c r="CN13" s="76">
        <v>46</v>
      </c>
      <c r="CO13" s="80">
        <f t="shared" si="51"/>
        <v>8.8122605363984672</v>
      </c>
      <c r="CP13" s="74">
        <v>528</v>
      </c>
      <c r="CQ13" s="76">
        <f t="shared" si="62"/>
        <v>477</v>
      </c>
      <c r="CR13" s="77">
        <f t="shared" si="52"/>
        <v>90.340909090909093</v>
      </c>
      <c r="CS13" s="76">
        <v>5</v>
      </c>
      <c r="CT13" s="77">
        <f t="shared" si="53"/>
        <v>0.94696969696969702</v>
      </c>
      <c r="CU13" s="76">
        <v>46</v>
      </c>
      <c r="CV13" s="80">
        <f t="shared" si="54"/>
        <v>8.7121212121212128</v>
      </c>
      <c r="CW13" s="74">
        <v>503</v>
      </c>
      <c r="CX13" s="76">
        <f t="shared" si="63"/>
        <v>458</v>
      </c>
      <c r="CY13" s="77">
        <f t="shared" si="55"/>
        <v>91.053677932405563</v>
      </c>
      <c r="CZ13" s="76">
        <v>2</v>
      </c>
      <c r="DA13" s="77">
        <f t="shared" si="56"/>
        <v>0.39761431411530818</v>
      </c>
      <c r="DB13" s="76">
        <v>43</v>
      </c>
      <c r="DC13" s="80">
        <f t="shared" si="57"/>
        <v>8.5487077534791247</v>
      </c>
      <c r="DD13" s="74">
        <v>510</v>
      </c>
      <c r="DE13" s="76">
        <f t="shared" si="64"/>
        <v>473</v>
      </c>
      <c r="DF13" s="77">
        <f t="shared" si="58"/>
        <v>92.745098039215691</v>
      </c>
      <c r="DG13" s="76">
        <v>2</v>
      </c>
      <c r="DH13" s="77">
        <f t="shared" si="59"/>
        <v>0.39215686274509803</v>
      </c>
      <c r="DI13" s="76">
        <v>35</v>
      </c>
      <c r="DJ13" s="80">
        <f t="shared" si="60"/>
        <v>6.8627450980392153</v>
      </c>
    </row>
    <row r="14" spans="1:114" ht="25.2" customHeight="1" x14ac:dyDescent="0.25">
      <c r="A14" s="74">
        <f t="shared" si="2"/>
        <v>5</v>
      </c>
      <c r="B14" s="75" t="s">
        <v>12</v>
      </c>
      <c r="C14" s="74" t="e">
        <f>Grundtabelle!#REF!</f>
        <v>#REF!</v>
      </c>
      <c r="D14" s="76" t="e">
        <f t="shared" si="3"/>
        <v>#REF!</v>
      </c>
      <c r="E14" s="77" t="e">
        <f t="shared" si="4"/>
        <v>#REF!</v>
      </c>
      <c r="F14" s="76">
        <v>20</v>
      </c>
      <c r="G14" s="77" t="e">
        <f t="shared" si="0"/>
        <v>#REF!</v>
      </c>
      <c r="H14" s="76">
        <v>44</v>
      </c>
      <c r="I14" s="78" t="e">
        <f t="shared" si="1"/>
        <v>#REF!</v>
      </c>
      <c r="J14" s="74">
        <v>504</v>
      </c>
      <c r="K14" s="76">
        <f t="shared" si="5"/>
        <v>428</v>
      </c>
      <c r="L14" s="77">
        <f t="shared" si="6"/>
        <v>84.920634920634924</v>
      </c>
      <c r="M14" s="76">
        <v>44</v>
      </c>
      <c r="N14" s="77">
        <f t="shared" si="7"/>
        <v>8.7301587301587293</v>
      </c>
      <c r="O14" s="76">
        <v>32</v>
      </c>
      <c r="P14" s="78">
        <f t="shared" si="8"/>
        <v>6.3492063492063489</v>
      </c>
      <c r="Q14" s="74">
        <v>514</v>
      </c>
      <c r="R14" s="76">
        <f t="shared" si="9"/>
        <v>431</v>
      </c>
      <c r="S14" s="77">
        <f t="shared" si="10"/>
        <v>83.852140077821005</v>
      </c>
      <c r="T14" s="76">
        <v>39</v>
      </c>
      <c r="U14" s="77">
        <f t="shared" si="11"/>
        <v>7.5875486381322954</v>
      </c>
      <c r="V14" s="76">
        <v>44</v>
      </c>
      <c r="W14" s="78">
        <f t="shared" si="12"/>
        <v>8.5603112840466924</v>
      </c>
      <c r="X14" s="74">
        <v>503</v>
      </c>
      <c r="Y14" s="76" t="e">
        <f t="shared" si="13"/>
        <v>#REF!</v>
      </c>
      <c r="Z14" s="77" t="e">
        <f t="shared" si="14"/>
        <v>#REF!</v>
      </c>
      <c r="AA14" s="76">
        <v>44</v>
      </c>
      <c r="AB14" s="77">
        <f t="shared" si="15"/>
        <v>8.7475149105367791</v>
      </c>
      <c r="AC14" s="76" t="e">
        <f>Grundtabelle!#REF!</f>
        <v>#REF!</v>
      </c>
      <c r="AD14" s="79" t="e">
        <f t="shared" si="16"/>
        <v>#REF!</v>
      </c>
      <c r="AE14" s="74" t="e">
        <f>Grundtabelle!#REF!</f>
        <v>#REF!</v>
      </c>
      <c r="AF14" s="76" t="e">
        <f t="shared" si="17"/>
        <v>#REF!</v>
      </c>
      <c r="AG14" s="77" t="e">
        <f t="shared" si="18"/>
        <v>#REF!</v>
      </c>
      <c r="AH14" s="76">
        <v>43</v>
      </c>
      <c r="AI14" s="77" t="e">
        <f t="shared" si="19"/>
        <v>#REF!</v>
      </c>
      <c r="AJ14" s="76">
        <v>41</v>
      </c>
      <c r="AK14" s="79" t="e">
        <f t="shared" si="20"/>
        <v>#REF!</v>
      </c>
      <c r="AL14" s="74">
        <v>532</v>
      </c>
      <c r="AM14" s="76">
        <f t="shared" si="21"/>
        <v>459</v>
      </c>
      <c r="AN14" s="77">
        <f t="shared" si="22"/>
        <v>86.278195488721806</v>
      </c>
      <c r="AO14" s="76">
        <v>31</v>
      </c>
      <c r="AP14" s="77">
        <f t="shared" si="23"/>
        <v>5.8270676691729326</v>
      </c>
      <c r="AQ14" s="76">
        <v>42</v>
      </c>
      <c r="AR14" s="79">
        <f t="shared" si="24"/>
        <v>7.8947368421052628</v>
      </c>
      <c r="AS14" s="74">
        <v>530</v>
      </c>
      <c r="AT14" s="76">
        <f t="shared" si="25"/>
        <v>457</v>
      </c>
      <c r="AU14" s="77">
        <f t="shared" si="26"/>
        <v>86.226415094339629</v>
      </c>
      <c r="AV14" s="76">
        <v>30</v>
      </c>
      <c r="AW14" s="77">
        <f t="shared" si="27"/>
        <v>5.6603773584905657</v>
      </c>
      <c r="AX14" s="76">
        <v>43</v>
      </c>
      <c r="AY14" s="79">
        <f t="shared" si="28"/>
        <v>8.1132075471698109</v>
      </c>
      <c r="AZ14" s="74">
        <v>565</v>
      </c>
      <c r="BA14" s="76">
        <f t="shared" si="29"/>
        <v>485</v>
      </c>
      <c r="BB14" s="77">
        <f t="shared" si="30"/>
        <v>85.840707964601776</v>
      </c>
      <c r="BC14" s="76">
        <v>31</v>
      </c>
      <c r="BD14" s="77">
        <f t="shared" si="31"/>
        <v>5.4867256637168138</v>
      </c>
      <c r="BE14" s="76">
        <v>49</v>
      </c>
      <c r="BF14" s="80">
        <f t="shared" si="32"/>
        <v>8.6725663716814161</v>
      </c>
      <c r="BG14" s="74">
        <v>555</v>
      </c>
      <c r="BH14" s="76">
        <f t="shared" si="33"/>
        <v>482</v>
      </c>
      <c r="BI14" s="77">
        <f t="shared" si="34"/>
        <v>86.846846846846844</v>
      </c>
      <c r="BJ14" s="76">
        <v>32</v>
      </c>
      <c r="BK14" s="77">
        <f t="shared" si="35"/>
        <v>5.7657657657657655</v>
      </c>
      <c r="BL14" s="76">
        <v>41</v>
      </c>
      <c r="BM14" s="80">
        <f t="shared" si="36"/>
        <v>7.3873873873873874</v>
      </c>
      <c r="BN14" s="74">
        <v>583</v>
      </c>
      <c r="BO14" s="76">
        <f t="shared" si="37"/>
        <v>514</v>
      </c>
      <c r="BP14" s="77">
        <f t="shared" si="38"/>
        <v>88.164665523156089</v>
      </c>
      <c r="BQ14" s="76">
        <v>31</v>
      </c>
      <c r="BR14" s="77">
        <f t="shared" si="39"/>
        <v>5.3173241852487134</v>
      </c>
      <c r="BS14" s="76">
        <v>38</v>
      </c>
      <c r="BT14" s="80">
        <f t="shared" si="40"/>
        <v>6.5180102915951972</v>
      </c>
      <c r="BU14" s="74">
        <v>603</v>
      </c>
      <c r="BV14" s="76">
        <f t="shared" si="41"/>
        <v>535</v>
      </c>
      <c r="BW14" s="77">
        <f t="shared" si="42"/>
        <v>88.723051409618577</v>
      </c>
      <c r="BX14" s="76">
        <v>25</v>
      </c>
      <c r="BY14" s="77">
        <f t="shared" si="43"/>
        <v>4.1459369817578775</v>
      </c>
      <c r="BZ14" s="76">
        <v>43</v>
      </c>
      <c r="CA14" s="80">
        <f t="shared" si="44"/>
        <v>7.1310116086235489</v>
      </c>
      <c r="CB14" s="74">
        <v>583</v>
      </c>
      <c r="CC14" s="76">
        <f t="shared" si="45"/>
        <v>515</v>
      </c>
      <c r="CD14" s="77">
        <f t="shared" si="46"/>
        <v>88.336192109777016</v>
      </c>
      <c r="CE14" s="76">
        <v>24</v>
      </c>
      <c r="CF14" s="77">
        <f t="shared" si="47"/>
        <v>4.1166380789022297</v>
      </c>
      <c r="CG14" s="76">
        <v>44</v>
      </c>
      <c r="CH14" s="80">
        <f t="shared" si="48"/>
        <v>7.5471698113207548</v>
      </c>
      <c r="CI14" s="74">
        <v>585</v>
      </c>
      <c r="CJ14" s="76">
        <f t="shared" si="61"/>
        <v>515</v>
      </c>
      <c r="CK14" s="77">
        <f t="shared" si="49"/>
        <v>88.034188034188034</v>
      </c>
      <c r="CL14" s="76">
        <v>28</v>
      </c>
      <c r="CM14" s="77">
        <f t="shared" si="50"/>
        <v>4.7863247863247862</v>
      </c>
      <c r="CN14" s="76">
        <v>42</v>
      </c>
      <c r="CO14" s="80">
        <f t="shared" si="51"/>
        <v>7.1794871794871797</v>
      </c>
      <c r="CP14" s="74">
        <v>561</v>
      </c>
      <c r="CQ14" s="76">
        <f t="shared" si="62"/>
        <v>489</v>
      </c>
      <c r="CR14" s="77">
        <f t="shared" si="52"/>
        <v>87.165775401069524</v>
      </c>
      <c r="CS14" s="76">
        <v>35</v>
      </c>
      <c r="CT14" s="77">
        <f t="shared" si="53"/>
        <v>6.238859180035651</v>
      </c>
      <c r="CU14" s="76">
        <v>37</v>
      </c>
      <c r="CV14" s="80">
        <f t="shared" si="54"/>
        <v>6.595365418894831</v>
      </c>
      <c r="CW14" s="74">
        <v>559</v>
      </c>
      <c r="CX14" s="76">
        <f t="shared" si="63"/>
        <v>487</v>
      </c>
      <c r="CY14" s="77">
        <f t="shared" si="55"/>
        <v>87.119856887298752</v>
      </c>
      <c r="CZ14" s="76">
        <v>29</v>
      </c>
      <c r="DA14" s="77">
        <f t="shared" si="56"/>
        <v>5.1878354203935597</v>
      </c>
      <c r="DB14" s="76">
        <v>43</v>
      </c>
      <c r="DC14" s="80">
        <f t="shared" si="57"/>
        <v>7.6923076923076925</v>
      </c>
      <c r="DD14" s="74"/>
      <c r="DE14" s="76">
        <f t="shared" si="64"/>
        <v>0</v>
      </c>
      <c r="DF14" s="77" t="e">
        <f t="shared" si="58"/>
        <v>#DIV/0!</v>
      </c>
      <c r="DG14" s="76"/>
      <c r="DH14" s="77" t="e">
        <f t="shared" si="59"/>
        <v>#DIV/0!</v>
      </c>
      <c r="DI14" s="76"/>
      <c r="DJ14" s="80" t="e">
        <f t="shared" si="60"/>
        <v>#DIV/0!</v>
      </c>
    </row>
    <row r="15" spans="1:114" ht="25.2" customHeight="1" x14ac:dyDescent="0.25">
      <c r="A15" s="74">
        <f t="shared" si="2"/>
        <v>6</v>
      </c>
      <c r="B15" s="75" t="s">
        <v>20</v>
      </c>
      <c r="C15" s="74" t="e">
        <f>Grundtabelle!#REF!</f>
        <v>#REF!</v>
      </c>
      <c r="D15" s="76" t="e">
        <f t="shared" si="3"/>
        <v>#REF!</v>
      </c>
      <c r="E15" s="77" t="e">
        <f t="shared" si="4"/>
        <v>#REF!</v>
      </c>
      <c r="F15" s="76">
        <v>9</v>
      </c>
      <c r="G15" s="77" t="e">
        <f t="shared" si="0"/>
        <v>#REF!</v>
      </c>
      <c r="H15" s="76">
        <v>25</v>
      </c>
      <c r="I15" s="78" t="e">
        <f t="shared" si="1"/>
        <v>#REF!</v>
      </c>
      <c r="J15" s="74">
        <v>334</v>
      </c>
      <c r="K15" s="76">
        <f t="shared" si="5"/>
        <v>274</v>
      </c>
      <c r="L15" s="77">
        <f t="shared" si="6"/>
        <v>82.035928143712582</v>
      </c>
      <c r="M15" s="76">
        <v>16</v>
      </c>
      <c r="N15" s="77">
        <f t="shared" si="7"/>
        <v>4.7904191616766463</v>
      </c>
      <c r="O15" s="76">
        <v>44</v>
      </c>
      <c r="P15" s="78">
        <f t="shared" si="8"/>
        <v>13.173652694610778</v>
      </c>
      <c r="Q15" s="74">
        <v>339</v>
      </c>
      <c r="R15" s="76">
        <f t="shared" si="9"/>
        <v>275</v>
      </c>
      <c r="S15" s="77">
        <f t="shared" si="10"/>
        <v>81.120943952802364</v>
      </c>
      <c r="T15" s="76">
        <v>21</v>
      </c>
      <c r="U15" s="77">
        <f t="shared" si="11"/>
        <v>6.1946902654867255</v>
      </c>
      <c r="V15" s="76">
        <v>43</v>
      </c>
      <c r="W15" s="78">
        <f t="shared" si="12"/>
        <v>12.684365781710914</v>
      </c>
      <c r="X15" s="74">
        <v>461</v>
      </c>
      <c r="Y15" s="76" t="e">
        <f t="shared" si="13"/>
        <v>#REF!</v>
      </c>
      <c r="Z15" s="77" t="e">
        <f t="shared" si="14"/>
        <v>#REF!</v>
      </c>
      <c r="AA15" s="76">
        <v>25</v>
      </c>
      <c r="AB15" s="77">
        <f t="shared" si="15"/>
        <v>5.4229934924078087</v>
      </c>
      <c r="AC15" s="76" t="e">
        <f>Grundtabelle!#REF!</f>
        <v>#REF!</v>
      </c>
      <c r="AD15" s="79" t="e">
        <f t="shared" si="16"/>
        <v>#REF!</v>
      </c>
      <c r="AE15" s="74" t="e">
        <f>Grundtabelle!#REF!</f>
        <v>#REF!</v>
      </c>
      <c r="AF15" s="76" t="e">
        <f t="shared" si="17"/>
        <v>#REF!</v>
      </c>
      <c r="AG15" s="77" t="e">
        <f t="shared" si="18"/>
        <v>#REF!</v>
      </c>
      <c r="AH15" s="76">
        <v>22</v>
      </c>
      <c r="AI15" s="77" t="e">
        <f t="shared" si="19"/>
        <v>#REF!</v>
      </c>
      <c r="AJ15" s="76">
        <v>44</v>
      </c>
      <c r="AK15" s="79" t="e">
        <f t="shared" si="20"/>
        <v>#REF!</v>
      </c>
      <c r="AL15" s="74">
        <v>499</v>
      </c>
      <c r="AM15" s="76">
        <f t="shared" si="21"/>
        <v>443</v>
      </c>
      <c r="AN15" s="77">
        <f t="shared" si="22"/>
        <v>88.777555110220447</v>
      </c>
      <c r="AO15" s="76">
        <v>17</v>
      </c>
      <c r="AP15" s="77">
        <f t="shared" si="23"/>
        <v>3.4068136272545089</v>
      </c>
      <c r="AQ15" s="76">
        <v>39</v>
      </c>
      <c r="AR15" s="79">
        <f t="shared" si="24"/>
        <v>7.8156312625250504</v>
      </c>
      <c r="AS15" s="74">
        <v>497</v>
      </c>
      <c r="AT15" s="76">
        <f t="shared" si="25"/>
        <v>449</v>
      </c>
      <c r="AU15" s="77">
        <f t="shared" si="26"/>
        <v>90.3420523138833</v>
      </c>
      <c r="AV15" s="76">
        <v>9</v>
      </c>
      <c r="AW15" s="77">
        <f t="shared" si="27"/>
        <v>1.8108651911468814</v>
      </c>
      <c r="AX15" s="76">
        <v>39</v>
      </c>
      <c r="AY15" s="79">
        <f t="shared" si="28"/>
        <v>7.8470824949698192</v>
      </c>
      <c r="AZ15" s="74">
        <v>483</v>
      </c>
      <c r="BA15" s="76">
        <f t="shared" si="29"/>
        <v>438</v>
      </c>
      <c r="BB15" s="77">
        <f t="shared" si="30"/>
        <v>90.683229813664596</v>
      </c>
      <c r="BC15" s="76">
        <v>6</v>
      </c>
      <c r="BD15" s="77">
        <f t="shared" si="31"/>
        <v>1.2422360248447204</v>
      </c>
      <c r="BE15" s="76">
        <v>39</v>
      </c>
      <c r="BF15" s="80">
        <f t="shared" si="32"/>
        <v>8.0745341614906838</v>
      </c>
      <c r="BG15" s="74">
        <v>460</v>
      </c>
      <c r="BH15" s="76">
        <f t="shared" si="33"/>
        <v>428</v>
      </c>
      <c r="BI15" s="77">
        <f t="shared" si="34"/>
        <v>93.043478260869563</v>
      </c>
      <c r="BJ15" s="76">
        <v>0</v>
      </c>
      <c r="BK15" s="77">
        <f t="shared" si="35"/>
        <v>0</v>
      </c>
      <c r="BL15" s="76">
        <v>32</v>
      </c>
      <c r="BM15" s="80">
        <f t="shared" si="36"/>
        <v>6.9565217391304346</v>
      </c>
      <c r="BN15" s="74">
        <v>451</v>
      </c>
      <c r="BO15" s="76">
        <f t="shared" si="37"/>
        <v>418</v>
      </c>
      <c r="BP15" s="77">
        <f t="shared" si="38"/>
        <v>92.682926829268297</v>
      </c>
      <c r="BQ15" s="76">
        <v>0</v>
      </c>
      <c r="BR15" s="77">
        <f t="shared" si="39"/>
        <v>0</v>
      </c>
      <c r="BS15" s="76">
        <v>33</v>
      </c>
      <c r="BT15" s="80">
        <f t="shared" si="40"/>
        <v>7.3170731707317076</v>
      </c>
      <c r="BU15" s="74">
        <v>454</v>
      </c>
      <c r="BV15" s="76">
        <f t="shared" si="41"/>
        <v>418</v>
      </c>
      <c r="BW15" s="77">
        <f t="shared" si="42"/>
        <v>92.070484581497794</v>
      </c>
      <c r="BX15" s="76">
        <v>0</v>
      </c>
      <c r="BY15" s="77">
        <f t="shared" si="43"/>
        <v>0</v>
      </c>
      <c r="BZ15" s="76">
        <v>36</v>
      </c>
      <c r="CA15" s="80">
        <f t="shared" si="44"/>
        <v>7.929515418502203</v>
      </c>
      <c r="CB15" s="74">
        <v>471</v>
      </c>
      <c r="CC15" s="76">
        <f t="shared" si="45"/>
        <v>431</v>
      </c>
      <c r="CD15" s="77">
        <f t="shared" si="46"/>
        <v>91.507430997876853</v>
      </c>
      <c r="CE15" s="76">
        <v>0</v>
      </c>
      <c r="CF15" s="77">
        <f t="shared" si="47"/>
        <v>0</v>
      </c>
      <c r="CG15" s="76">
        <v>40</v>
      </c>
      <c r="CH15" s="80">
        <f t="shared" si="48"/>
        <v>8.4925690021231421</v>
      </c>
      <c r="CI15" s="74">
        <v>474</v>
      </c>
      <c r="CJ15" s="76">
        <f t="shared" si="61"/>
        <v>442</v>
      </c>
      <c r="CK15" s="77">
        <f t="shared" si="49"/>
        <v>93.248945147679322</v>
      </c>
      <c r="CL15" s="76">
        <v>0</v>
      </c>
      <c r="CM15" s="77">
        <f t="shared" si="50"/>
        <v>0</v>
      </c>
      <c r="CN15" s="76">
        <v>32</v>
      </c>
      <c r="CO15" s="80">
        <f t="shared" si="51"/>
        <v>6.7510548523206753</v>
      </c>
      <c r="CP15" s="74">
        <v>453</v>
      </c>
      <c r="CQ15" s="76">
        <f t="shared" si="62"/>
        <v>426</v>
      </c>
      <c r="CR15" s="77">
        <f t="shared" si="52"/>
        <v>94.039735099337747</v>
      </c>
      <c r="CS15" s="76">
        <v>2</v>
      </c>
      <c r="CT15" s="77">
        <f t="shared" si="53"/>
        <v>0.44150110375275936</v>
      </c>
      <c r="CU15" s="76">
        <v>25</v>
      </c>
      <c r="CV15" s="80">
        <f t="shared" si="54"/>
        <v>5.518763796909492</v>
      </c>
      <c r="CW15" s="74">
        <v>371</v>
      </c>
      <c r="CX15" s="76">
        <f t="shared" si="63"/>
        <v>351</v>
      </c>
      <c r="CY15" s="77">
        <f t="shared" si="55"/>
        <v>94.609164420485172</v>
      </c>
      <c r="CZ15" s="76">
        <v>1</v>
      </c>
      <c r="DA15" s="77">
        <f t="shared" si="56"/>
        <v>0.26954177897574122</v>
      </c>
      <c r="DB15" s="76">
        <v>19</v>
      </c>
      <c r="DC15" s="80">
        <f t="shared" si="57"/>
        <v>5.1212938005390836</v>
      </c>
      <c r="DD15" s="74"/>
      <c r="DE15" s="76">
        <f t="shared" si="64"/>
        <v>0</v>
      </c>
      <c r="DF15" s="77" t="e">
        <f t="shared" si="58"/>
        <v>#DIV/0!</v>
      </c>
      <c r="DG15" s="76"/>
      <c r="DH15" s="77" t="e">
        <f t="shared" si="59"/>
        <v>#DIV/0!</v>
      </c>
      <c r="DI15" s="76"/>
      <c r="DJ15" s="80" t="e">
        <f t="shared" si="60"/>
        <v>#DIV/0!</v>
      </c>
    </row>
    <row r="16" spans="1:114" ht="25.2" customHeight="1" x14ac:dyDescent="0.25">
      <c r="A16" s="74">
        <f t="shared" si="2"/>
        <v>7</v>
      </c>
      <c r="B16" s="75" t="s">
        <v>14</v>
      </c>
      <c r="C16" s="74" t="e">
        <f>Grundtabelle!#REF!</f>
        <v>#REF!</v>
      </c>
      <c r="D16" s="76" t="e">
        <f t="shared" si="3"/>
        <v>#REF!</v>
      </c>
      <c r="E16" s="77" t="e">
        <f t="shared" si="4"/>
        <v>#REF!</v>
      </c>
      <c r="F16" s="76">
        <v>28</v>
      </c>
      <c r="G16" s="77" t="e">
        <f t="shared" si="0"/>
        <v>#REF!</v>
      </c>
      <c r="H16" s="76">
        <v>32</v>
      </c>
      <c r="I16" s="78" t="e">
        <f t="shared" si="1"/>
        <v>#REF!</v>
      </c>
      <c r="J16" s="74">
        <v>466</v>
      </c>
      <c r="K16" s="76">
        <f t="shared" si="5"/>
        <v>395</v>
      </c>
      <c r="L16" s="77">
        <f t="shared" si="6"/>
        <v>84.763948497854074</v>
      </c>
      <c r="M16" s="76">
        <v>39</v>
      </c>
      <c r="N16" s="77">
        <f t="shared" si="7"/>
        <v>8.3690987124463518</v>
      </c>
      <c r="O16" s="76">
        <v>32</v>
      </c>
      <c r="P16" s="78">
        <f t="shared" si="8"/>
        <v>6.866952789699571</v>
      </c>
      <c r="Q16" s="74">
        <v>518</v>
      </c>
      <c r="R16" s="76">
        <f t="shared" si="9"/>
        <v>433</v>
      </c>
      <c r="S16" s="77">
        <f t="shared" si="10"/>
        <v>83.590733590733592</v>
      </c>
      <c r="T16" s="76">
        <v>50</v>
      </c>
      <c r="U16" s="77">
        <f t="shared" si="11"/>
        <v>9.6525096525096519</v>
      </c>
      <c r="V16" s="76">
        <v>35</v>
      </c>
      <c r="W16" s="78">
        <f t="shared" si="12"/>
        <v>6.756756756756757</v>
      </c>
      <c r="X16" s="74">
        <v>556</v>
      </c>
      <c r="Y16" s="76" t="e">
        <f t="shared" si="13"/>
        <v>#REF!</v>
      </c>
      <c r="Z16" s="77" t="e">
        <f t="shared" si="14"/>
        <v>#REF!</v>
      </c>
      <c r="AA16" s="76">
        <v>31</v>
      </c>
      <c r="AB16" s="77">
        <f t="shared" si="15"/>
        <v>5.5755395683453237</v>
      </c>
      <c r="AC16" s="76" t="e">
        <f>Grundtabelle!#REF!</f>
        <v>#REF!</v>
      </c>
      <c r="AD16" s="79" t="e">
        <f t="shared" si="16"/>
        <v>#REF!</v>
      </c>
      <c r="AE16" s="74" t="e">
        <f>Grundtabelle!#REF!</f>
        <v>#REF!</v>
      </c>
      <c r="AF16" s="76" t="e">
        <f t="shared" si="17"/>
        <v>#REF!</v>
      </c>
      <c r="AG16" s="77" t="e">
        <f t="shared" si="18"/>
        <v>#REF!</v>
      </c>
      <c r="AH16" s="76">
        <v>25</v>
      </c>
      <c r="AI16" s="77" t="e">
        <f t="shared" si="19"/>
        <v>#REF!</v>
      </c>
      <c r="AJ16" s="76">
        <v>28</v>
      </c>
      <c r="AK16" s="79" t="e">
        <f t="shared" si="20"/>
        <v>#REF!</v>
      </c>
      <c r="AL16" s="74">
        <v>559</v>
      </c>
      <c r="AM16" s="76">
        <f t="shared" si="21"/>
        <v>513</v>
      </c>
      <c r="AN16" s="77">
        <f t="shared" si="22"/>
        <v>91.771019677996421</v>
      </c>
      <c r="AO16" s="76">
        <v>25</v>
      </c>
      <c r="AP16" s="77">
        <f t="shared" si="23"/>
        <v>4.4722719141323797</v>
      </c>
      <c r="AQ16" s="76">
        <v>21</v>
      </c>
      <c r="AR16" s="79">
        <f t="shared" si="24"/>
        <v>3.7567084078711988</v>
      </c>
      <c r="AS16" s="74">
        <v>574</v>
      </c>
      <c r="AT16" s="76">
        <f t="shared" si="25"/>
        <v>530</v>
      </c>
      <c r="AU16" s="77">
        <f t="shared" si="26"/>
        <v>92.334494773519168</v>
      </c>
      <c r="AV16" s="76">
        <v>20</v>
      </c>
      <c r="AW16" s="77">
        <f t="shared" si="27"/>
        <v>3.484320557491289</v>
      </c>
      <c r="AX16" s="76">
        <v>24</v>
      </c>
      <c r="AY16" s="79">
        <f t="shared" si="28"/>
        <v>4.1811846689895473</v>
      </c>
      <c r="AZ16" s="74">
        <v>587</v>
      </c>
      <c r="BA16" s="76">
        <f t="shared" si="29"/>
        <v>546</v>
      </c>
      <c r="BB16" s="77">
        <f t="shared" si="30"/>
        <v>93.015332197614995</v>
      </c>
      <c r="BC16" s="76">
        <v>13</v>
      </c>
      <c r="BD16" s="77">
        <f t="shared" si="31"/>
        <v>2.2146507666098807</v>
      </c>
      <c r="BE16" s="76">
        <v>28</v>
      </c>
      <c r="BF16" s="80">
        <f t="shared" si="32"/>
        <v>4.7700170357751279</v>
      </c>
      <c r="BG16" s="74">
        <v>589</v>
      </c>
      <c r="BH16" s="76">
        <f t="shared" si="33"/>
        <v>544</v>
      </c>
      <c r="BI16" s="77">
        <f t="shared" si="34"/>
        <v>92.359932088285234</v>
      </c>
      <c r="BJ16" s="76">
        <v>13</v>
      </c>
      <c r="BK16" s="77">
        <f t="shared" si="35"/>
        <v>2.2071307300509337</v>
      </c>
      <c r="BL16" s="76">
        <v>32</v>
      </c>
      <c r="BM16" s="80">
        <f t="shared" si="36"/>
        <v>5.4329371816638368</v>
      </c>
      <c r="BN16" s="74">
        <v>627</v>
      </c>
      <c r="BO16" s="76">
        <f t="shared" si="37"/>
        <v>577</v>
      </c>
      <c r="BP16" s="77">
        <f t="shared" si="38"/>
        <v>92.025518341307816</v>
      </c>
      <c r="BQ16" s="76">
        <v>15</v>
      </c>
      <c r="BR16" s="77">
        <f t="shared" si="39"/>
        <v>2.3923444976076556</v>
      </c>
      <c r="BS16" s="76">
        <v>35</v>
      </c>
      <c r="BT16" s="80">
        <f t="shared" si="40"/>
        <v>5.5821371610845292</v>
      </c>
      <c r="BU16" s="74">
        <v>659</v>
      </c>
      <c r="BV16" s="76">
        <f t="shared" si="41"/>
        <v>602</v>
      </c>
      <c r="BW16" s="77">
        <f t="shared" si="42"/>
        <v>91.350531107739002</v>
      </c>
      <c r="BX16" s="76">
        <v>16</v>
      </c>
      <c r="BY16" s="77">
        <f t="shared" si="43"/>
        <v>2.4279210925644916</v>
      </c>
      <c r="BZ16" s="76">
        <v>41</v>
      </c>
      <c r="CA16" s="80">
        <f t="shared" si="44"/>
        <v>6.2215477996965101</v>
      </c>
      <c r="CB16" s="74">
        <v>670</v>
      </c>
      <c r="CC16" s="76">
        <f t="shared" si="45"/>
        <v>618</v>
      </c>
      <c r="CD16" s="77">
        <f t="shared" si="46"/>
        <v>92.238805970149258</v>
      </c>
      <c r="CE16" s="76">
        <v>14</v>
      </c>
      <c r="CF16" s="77">
        <f t="shared" si="47"/>
        <v>2.08955223880597</v>
      </c>
      <c r="CG16" s="76">
        <v>38</v>
      </c>
      <c r="CH16" s="80">
        <f t="shared" si="48"/>
        <v>5.6716417910447765</v>
      </c>
      <c r="CI16" s="74">
        <v>685</v>
      </c>
      <c r="CJ16" s="76">
        <f t="shared" si="61"/>
        <v>636</v>
      </c>
      <c r="CK16" s="77">
        <f t="shared" si="49"/>
        <v>92.846715328467155</v>
      </c>
      <c r="CL16" s="76">
        <v>11</v>
      </c>
      <c r="CM16" s="77">
        <f t="shared" si="50"/>
        <v>1.6058394160583942</v>
      </c>
      <c r="CN16" s="76">
        <v>38</v>
      </c>
      <c r="CO16" s="80">
        <f t="shared" si="51"/>
        <v>5.5474452554744529</v>
      </c>
      <c r="CP16" s="74">
        <v>684</v>
      </c>
      <c r="CQ16" s="76">
        <f t="shared" si="62"/>
        <v>639</v>
      </c>
      <c r="CR16" s="77">
        <f t="shared" si="52"/>
        <v>93.421052631578945</v>
      </c>
      <c r="CS16" s="76">
        <v>8</v>
      </c>
      <c r="CT16" s="77">
        <f t="shared" si="53"/>
        <v>1.1695906432748537</v>
      </c>
      <c r="CU16" s="76">
        <v>37</v>
      </c>
      <c r="CV16" s="80">
        <f t="shared" si="54"/>
        <v>5.4093567251461989</v>
      </c>
      <c r="CW16" s="74">
        <v>664</v>
      </c>
      <c r="CX16" s="76">
        <f t="shared" si="63"/>
        <v>620</v>
      </c>
      <c r="CY16" s="77">
        <f t="shared" si="55"/>
        <v>93.373493975903614</v>
      </c>
      <c r="CZ16" s="76">
        <v>11</v>
      </c>
      <c r="DA16" s="77">
        <f t="shared" si="56"/>
        <v>1.6566265060240963</v>
      </c>
      <c r="DB16" s="76">
        <v>33</v>
      </c>
      <c r="DC16" s="80">
        <f t="shared" si="57"/>
        <v>4.9698795180722888</v>
      </c>
      <c r="DD16" s="74"/>
      <c r="DE16" s="76">
        <f t="shared" si="64"/>
        <v>0</v>
      </c>
      <c r="DF16" s="77" t="e">
        <f t="shared" si="58"/>
        <v>#DIV/0!</v>
      </c>
      <c r="DG16" s="76"/>
      <c r="DH16" s="77" t="e">
        <f t="shared" si="59"/>
        <v>#DIV/0!</v>
      </c>
      <c r="DI16" s="76"/>
      <c r="DJ16" s="80" t="e">
        <f t="shared" si="60"/>
        <v>#DIV/0!</v>
      </c>
    </row>
    <row r="17" spans="1:114" ht="25.2" customHeight="1" x14ac:dyDescent="0.25">
      <c r="A17" s="74">
        <f t="shared" si="2"/>
        <v>8</v>
      </c>
      <c r="B17" s="81" t="s">
        <v>16</v>
      </c>
      <c r="C17" s="74" t="e">
        <f>Grundtabelle!#REF!</f>
        <v>#REF!</v>
      </c>
      <c r="D17" s="76" t="e">
        <f t="shared" si="3"/>
        <v>#REF!</v>
      </c>
      <c r="E17" s="77" t="e">
        <f t="shared" si="4"/>
        <v>#REF!</v>
      </c>
      <c r="F17" s="76">
        <v>8</v>
      </c>
      <c r="G17" s="77" t="e">
        <f t="shared" si="0"/>
        <v>#REF!</v>
      </c>
      <c r="H17" s="76">
        <v>13</v>
      </c>
      <c r="I17" s="78" t="e">
        <f t="shared" si="1"/>
        <v>#REF!</v>
      </c>
      <c r="J17" s="74">
        <v>389</v>
      </c>
      <c r="K17" s="76">
        <f t="shared" si="5"/>
        <v>364</v>
      </c>
      <c r="L17" s="77">
        <f t="shared" si="6"/>
        <v>93.573264781491005</v>
      </c>
      <c r="M17" s="76">
        <v>10</v>
      </c>
      <c r="N17" s="77">
        <f t="shared" si="7"/>
        <v>2.5706940874035991</v>
      </c>
      <c r="O17" s="76">
        <v>15</v>
      </c>
      <c r="P17" s="78">
        <f t="shared" si="8"/>
        <v>3.8560411311053984</v>
      </c>
      <c r="Q17" s="74">
        <v>396</v>
      </c>
      <c r="R17" s="76">
        <f t="shared" si="9"/>
        <v>366</v>
      </c>
      <c r="S17" s="77">
        <f t="shared" si="10"/>
        <v>92.424242424242422</v>
      </c>
      <c r="T17" s="76">
        <v>15</v>
      </c>
      <c r="U17" s="77">
        <f t="shared" si="11"/>
        <v>3.7878787878787881</v>
      </c>
      <c r="V17" s="76">
        <v>15</v>
      </c>
      <c r="W17" s="78">
        <f t="shared" si="12"/>
        <v>3.7878787878787881</v>
      </c>
      <c r="X17" s="74">
        <v>475</v>
      </c>
      <c r="Y17" s="76" t="e">
        <f t="shared" si="13"/>
        <v>#REF!</v>
      </c>
      <c r="Z17" s="77" t="e">
        <f t="shared" si="14"/>
        <v>#REF!</v>
      </c>
      <c r="AA17" s="76">
        <v>32</v>
      </c>
      <c r="AB17" s="77">
        <f t="shared" si="15"/>
        <v>6.7368421052631575</v>
      </c>
      <c r="AC17" s="76" t="e">
        <f>Grundtabelle!#REF!</f>
        <v>#REF!</v>
      </c>
      <c r="AD17" s="79" t="e">
        <f t="shared" si="16"/>
        <v>#REF!</v>
      </c>
      <c r="AE17" s="74" t="e">
        <f>Grundtabelle!#REF!</f>
        <v>#REF!</v>
      </c>
      <c r="AF17" s="76" t="e">
        <f t="shared" si="17"/>
        <v>#REF!</v>
      </c>
      <c r="AG17" s="77" t="e">
        <f t="shared" si="18"/>
        <v>#REF!</v>
      </c>
      <c r="AH17" s="76">
        <v>26</v>
      </c>
      <c r="AI17" s="77" t="e">
        <f t="shared" si="19"/>
        <v>#REF!</v>
      </c>
      <c r="AJ17" s="76">
        <v>14</v>
      </c>
      <c r="AK17" s="79" t="e">
        <f t="shared" si="20"/>
        <v>#REF!</v>
      </c>
      <c r="AL17" s="74">
        <v>471</v>
      </c>
      <c r="AM17" s="76">
        <f t="shared" si="21"/>
        <v>428</v>
      </c>
      <c r="AN17" s="77">
        <f t="shared" si="22"/>
        <v>90.87048832271762</v>
      </c>
      <c r="AO17" s="76">
        <v>22</v>
      </c>
      <c r="AP17" s="77">
        <f t="shared" si="23"/>
        <v>4.6709129511677281</v>
      </c>
      <c r="AQ17" s="76">
        <v>21</v>
      </c>
      <c r="AR17" s="79">
        <f t="shared" si="24"/>
        <v>4.4585987261146496</v>
      </c>
      <c r="AS17" s="74">
        <v>439</v>
      </c>
      <c r="AT17" s="76">
        <f t="shared" si="25"/>
        <v>396</v>
      </c>
      <c r="AU17" s="77">
        <f t="shared" si="26"/>
        <v>90.205011389521644</v>
      </c>
      <c r="AV17" s="76">
        <v>21</v>
      </c>
      <c r="AW17" s="77">
        <f t="shared" si="27"/>
        <v>4.7835990888382689</v>
      </c>
      <c r="AX17" s="76">
        <v>22</v>
      </c>
      <c r="AY17" s="79">
        <f t="shared" si="28"/>
        <v>5.0113895216400914</v>
      </c>
      <c r="AZ17" s="74">
        <v>399</v>
      </c>
      <c r="BA17" s="76">
        <f t="shared" si="29"/>
        <v>361</v>
      </c>
      <c r="BB17" s="77">
        <f t="shared" si="30"/>
        <v>90.476190476190482</v>
      </c>
      <c r="BC17" s="76">
        <v>14</v>
      </c>
      <c r="BD17" s="77">
        <f t="shared" si="31"/>
        <v>3.5087719298245612</v>
      </c>
      <c r="BE17" s="76">
        <v>24</v>
      </c>
      <c r="BF17" s="80">
        <f t="shared" si="32"/>
        <v>6.0150375939849621</v>
      </c>
      <c r="BG17" s="74">
        <v>369</v>
      </c>
      <c r="BH17" s="76">
        <f t="shared" si="33"/>
        <v>335</v>
      </c>
      <c r="BI17" s="77">
        <f t="shared" si="34"/>
        <v>90.785907859078591</v>
      </c>
      <c r="BJ17" s="76">
        <v>8</v>
      </c>
      <c r="BK17" s="77">
        <f t="shared" si="35"/>
        <v>2.168021680216802</v>
      </c>
      <c r="BL17" s="76">
        <v>26</v>
      </c>
      <c r="BM17" s="80">
        <f t="shared" si="36"/>
        <v>7.0460704607046072</v>
      </c>
      <c r="BN17" s="74">
        <v>340</v>
      </c>
      <c r="BO17" s="76">
        <f t="shared" si="37"/>
        <v>317</v>
      </c>
      <c r="BP17" s="77">
        <f t="shared" si="38"/>
        <v>93.235294117647058</v>
      </c>
      <c r="BQ17" s="76">
        <v>4</v>
      </c>
      <c r="BR17" s="77">
        <f t="shared" si="39"/>
        <v>1.1764705882352942</v>
      </c>
      <c r="BS17" s="76">
        <v>19</v>
      </c>
      <c r="BT17" s="80">
        <f t="shared" si="40"/>
        <v>5.5882352941176467</v>
      </c>
      <c r="BU17" s="74">
        <v>311</v>
      </c>
      <c r="BV17" s="76">
        <f t="shared" si="41"/>
        <v>286</v>
      </c>
      <c r="BW17" s="77">
        <f t="shared" si="42"/>
        <v>91.961414790996784</v>
      </c>
      <c r="BX17" s="76">
        <v>2</v>
      </c>
      <c r="BY17" s="77">
        <f t="shared" si="43"/>
        <v>0.64308681672025725</v>
      </c>
      <c r="BZ17" s="76">
        <v>23</v>
      </c>
      <c r="CA17" s="80">
        <f t="shared" si="44"/>
        <v>7.395498392282958</v>
      </c>
      <c r="CB17" s="74">
        <v>313</v>
      </c>
      <c r="CC17" s="76">
        <f t="shared" si="45"/>
        <v>282</v>
      </c>
      <c r="CD17" s="77">
        <f t="shared" si="46"/>
        <v>90.095846645367416</v>
      </c>
      <c r="CE17" s="76">
        <v>7</v>
      </c>
      <c r="CF17" s="77">
        <f t="shared" si="47"/>
        <v>2.2364217252396168</v>
      </c>
      <c r="CG17" s="76">
        <v>24</v>
      </c>
      <c r="CH17" s="80">
        <f t="shared" si="48"/>
        <v>7.6677316293929714</v>
      </c>
      <c r="CI17" s="74">
        <v>302</v>
      </c>
      <c r="CJ17" s="76">
        <f t="shared" si="61"/>
        <v>276</v>
      </c>
      <c r="CK17" s="77">
        <f t="shared" si="49"/>
        <v>91.390728476821195</v>
      </c>
      <c r="CL17" s="76">
        <v>3</v>
      </c>
      <c r="CM17" s="77">
        <f t="shared" si="50"/>
        <v>0.99337748344370858</v>
      </c>
      <c r="CN17" s="76">
        <v>23</v>
      </c>
      <c r="CO17" s="80">
        <f t="shared" si="51"/>
        <v>7.6158940397350996</v>
      </c>
      <c r="CP17" s="74">
        <v>309</v>
      </c>
      <c r="CQ17" s="76">
        <f t="shared" si="62"/>
        <v>280</v>
      </c>
      <c r="CR17" s="77">
        <f t="shared" si="52"/>
        <v>90.614886731391579</v>
      </c>
      <c r="CS17" s="76">
        <v>3</v>
      </c>
      <c r="CT17" s="77">
        <f t="shared" si="53"/>
        <v>0.970873786407767</v>
      </c>
      <c r="CU17" s="76">
        <v>26</v>
      </c>
      <c r="CV17" s="80">
        <f t="shared" si="54"/>
        <v>8.4142394822006477</v>
      </c>
      <c r="CW17" s="74">
        <v>272</v>
      </c>
      <c r="CX17" s="76">
        <f t="shared" si="63"/>
        <v>245</v>
      </c>
      <c r="CY17" s="77">
        <f t="shared" si="55"/>
        <v>90.07352941176471</v>
      </c>
      <c r="CZ17" s="76">
        <v>4</v>
      </c>
      <c r="DA17" s="77">
        <f t="shared" si="56"/>
        <v>1.4705882352941178</v>
      </c>
      <c r="DB17" s="76">
        <v>23</v>
      </c>
      <c r="DC17" s="80">
        <f t="shared" si="57"/>
        <v>8.4558823529411757</v>
      </c>
      <c r="DD17" s="74"/>
      <c r="DE17" s="76">
        <f t="shared" si="64"/>
        <v>0</v>
      </c>
      <c r="DF17" s="77" t="e">
        <f t="shared" si="58"/>
        <v>#DIV/0!</v>
      </c>
      <c r="DG17" s="76"/>
      <c r="DH17" s="77" t="e">
        <f t="shared" si="59"/>
        <v>#DIV/0!</v>
      </c>
      <c r="DI17" s="76"/>
      <c r="DJ17" s="80" t="e">
        <f t="shared" si="60"/>
        <v>#DIV/0!</v>
      </c>
    </row>
    <row r="18" spans="1:114" ht="25.2" customHeight="1" thickBot="1" x14ac:dyDescent="0.3">
      <c r="A18" s="82">
        <f t="shared" si="2"/>
        <v>9</v>
      </c>
      <c r="B18" s="83" t="s">
        <v>17</v>
      </c>
      <c r="C18" s="82" t="e">
        <f>Grundtabelle!#REF!</f>
        <v>#REF!</v>
      </c>
      <c r="D18" s="84" t="e">
        <f t="shared" si="3"/>
        <v>#REF!</v>
      </c>
      <c r="E18" s="85" t="e">
        <f t="shared" si="4"/>
        <v>#REF!</v>
      </c>
      <c r="F18" s="84">
        <v>12</v>
      </c>
      <c r="G18" s="85" t="e">
        <f t="shared" si="0"/>
        <v>#REF!</v>
      </c>
      <c r="H18" s="84">
        <v>17</v>
      </c>
      <c r="I18" s="86" t="e">
        <f t="shared" si="1"/>
        <v>#REF!</v>
      </c>
      <c r="J18" s="82">
        <v>521</v>
      </c>
      <c r="K18" s="84">
        <f t="shared" si="5"/>
        <v>488</v>
      </c>
      <c r="L18" s="85">
        <f t="shared" si="6"/>
        <v>93.666026871401158</v>
      </c>
      <c r="M18" s="84">
        <v>11</v>
      </c>
      <c r="N18" s="85">
        <f t="shared" si="7"/>
        <v>2.1113243761996161</v>
      </c>
      <c r="O18" s="84">
        <v>22</v>
      </c>
      <c r="P18" s="86">
        <f t="shared" si="8"/>
        <v>4.2226487523992322</v>
      </c>
      <c r="Q18" s="82">
        <v>517</v>
      </c>
      <c r="R18" s="84">
        <f t="shared" si="9"/>
        <v>480</v>
      </c>
      <c r="S18" s="85">
        <f t="shared" si="10"/>
        <v>92.843326885880074</v>
      </c>
      <c r="T18" s="84">
        <v>20</v>
      </c>
      <c r="U18" s="85">
        <f t="shared" si="11"/>
        <v>3.8684719535783367</v>
      </c>
      <c r="V18" s="84">
        <v>17</v>
      </c>
      <c r="W18" s="86">
        <f t="shared" si="12"/>
        <v>3.2882011605415862</v>
      </c>
      <c r="X18" s="82">
        <v>547</v>
      </c>
      <c r="Y18" s="84" t="e">
        <f t="shared" si="13"/>
        <v>#REF!</v>
      </c>
      <c r="Z18" s="85" t="e">
        <f t="shared" si="14"/>
        <v>#REF!</v>
      </c>
      <c r="AA18" s="84">
        <v>23</v>
      </c>
      <c r="AB18" s="85">
        <f t="shared" si="15"/>
        <v>4.2047531992687386</v>
      </c>
      <c r="AC18" s="84" t="e">
        <f>Grundtabelle!#REF!</f>
        <v>#REF!</v>
      </c>
      <c r="AD18" s="87" t="e">
        <f t="shared" si="16"/>
        <v>#REF!</v>
      </c>
      <c r="AE18" s="82" t="e">
        <f>Grundtabelle!#REF!</f>
        <v>#REF!</v>
      </c>
      <c r="AF18" s="84" t="e">
        <f t="shared" si="17"/>
        <v>#REF!</v>
      </c>
      <c r="AG18" s="85" t="e">
        <f t="shared" si="18"/>
        <v>#REF!</v>
      </c>
      <c r="AH18" s="84">
        <v>24</v>
      </c>
      <c r="AI18" s="85" t="e">
        <f t="shared" si="19"/>
        <v>#REF!</v>
      </c>
      <c r="AJ18" s="84">
        <v>13</v>
      </c>
      <c r="AK18" s="87" t="e">
        <f t="shared" si="20"/>
        <v>#REF!</v>
      </c>
      <c r="AL18" s="82">
        <v>550</v>
      </c>
      <c r="AM18" s="84">
        <f t="shared" si="21"/>
        <v>512</v>
      </c>
      <c r="AN18" s="85">
        <f t="shared" si="22"/>
        <v>93.090909090909093</v>
      </c>
      <c r="AO18" s="84">
        <v>24</v>
      </c>
      <c r="AP18" s="85">
        <f t="shared" si="23"/>
        <v>4.3636363636363633</v>
      </c>
      <c r="AQ18" s="84">
        <v>14</v>
      </c>
      <c r="AR18" s="87">
        <f t="shared" si="24"/>
        <v>2.5454545454545454</v>
      </c>
      <c r="AS18" s="82">
        <v>553</v>
      </c>
      <c r="AT18" s="84">
        <f t="shared" si="25"/>
        <v>516</v>
      </c>
      <c r="AU18" s="85">
        <f t="shared" si="26"/>
        <v>93.30922242314648</v>
      </c>
      <c r="AV18" s="84">
        <v>26</v>
      </c>
      <c r="AW18" s="85">
        <f t="shared" si="27"/>
        <v>4.7016274864376131</v>
      </c>
      <c r="AX18" s="84">
        <v>11</v>
      </c>
      <c r="AY18" s="87">
        <f t="shared" si="28"/>
        <v>1.9891500904159132</v>
      </c>
      <c r="AZ18" s="82">
        <v>556</v>
      </c>
      <c r="BA18" s="84">
        <f t="shared" si="29"/>
        <v>521</v>
      </c>
      <c r="BB18" s="85">
        <f t="shared" si="30"/>
        <v>93.705035971223026</v>
      </c>
      <c r="BC18" s="84">
        <v>20</v>
      </c>
      <c r="BD18" s="85">
        <f t="shared" si="31"/>
        <v>3.5971223021582732</v>
      </c>
      <c r="BE18" s="84">
        <v>15</v>
      </c>
      <c r="BF18" s="88">
        <f t="shared" si="32"/>
        <v>2.6978417266187051</v>
      </c>
      <c r="BG18" s="82">
        <v>559</v>
      </c>
      <c r="BH18" s="84">
        <f t="shared" si="33"/>
        <v>490</v>
      </c>
      <c r="BI18" s="85">
        <f t="shared" si="34"/>
        <v>87.656529516994638</v>
      </c>
      <c r="BJ18" s="84">
        <v>50</v>
      </c>
      <c r="BK18" s="85">
        <f t="shared" si="35"/>
        <v>8.9445438282647594</v>
      </c>
      <c r="BL18" s="84">
        <v>19</v>
      </c>
      <c r="BM18" s="88">
        <f t="shared" si="36"/>
        <v>3.3989266547406083</v>
      </c>
      <c r="BN18" s="82">
        <v>534</v>
      </c>
      <c r="BO18" s="84">
        <f t="shared" si="37"/>
        <v>496</v>
      </c>
      <c r="BP18" s="85">
        <f t="shared" si="38"/>
        <v>92.883895131086149</v>
      </c>
      <c r="BQ18" s="84">
        <v>19</v>
      </c>
      <c r="BR18" s="85">
        <f t="shared" si="39"/>
        <v>3.5580524344569286</v>
      </c>
      <c r="BS18" s="84">
        <v>19</v>
      </c>
      <c r="BT18" s="88">
        <f t="shared" si="40"/>
        <v>3.5580524344569286</v>
      </c>
      <c r="BU18" s="82">
        <v>548</v>
      </c>
      <c r="BV18" s="84">
        <f t="shared" si="41"/>
        <v>510</v>
      </c>
      <c r="BW18" s="85">
        <f t="shared" si="42"/>
        <v>93.065693430656935</v>
      </c>
      <c r="BX18" s="84">
        <v>16</v>
      </c>
      <c r="BY18" s="85">
        <f t="shared" si="43"/>
        <v>2.9197080291970803</v>
      </c>
      <c r="BZ18" s="84">
        <v>22</v>
      </c>
      <c r="CA18" s="88">
        <f t="shared" si="44"/>
        <v>4.0145985401459852</v>
      </c>
      <c r="CB18" s="82">
        <v>547</v>
      </c>
      <c r="CC18" s="84">
        <f t="shared" si="45"/>
        <v>510</v>
      </c>
      <c r="CD18" s="85">
        <f t="shared" si="46"/>
        <v>93.235831809872025</v>
      </c>
      <c r="CE18" s="84">
        <v>13</v>
      </c>
      <c r="CF18" s="85">
        <f t="shared" si="47"/>
        <v>2.376599634369287</v>
      </c>
      <c r="CG18" s="84">
        <v>24</v>
      </c>
      <c r="CH18" s="88">
        <f t="shared" si="48"/>
        <v>4.3875685557586834</v>
      </c>
      <c r="CI18" s="82">
        <v>542</v>
      </c>
      <c r="CJ18" s="76">
        <f t="shared" si="61"/>
        <v>512</v>
      </c>
      <c r="CK18" s="85">
        <f t="shared" si="49"/>
        <v>94.464944649446494</v>
      </c>
      <c r="CL18" s="84">
        <v>7</v>
      </c>
      <c r="CM18" s="85">
        <f t="shared" si="50"/>
        <v>1.2915129151291513</v>
      </c>
      <c r="CN18" s="84">
        <v>23</v>
      </c>
      <c r="CO18" s="88">
        <f t="shared" si="51"/>
        <v>4.2435424354243541</v>
      </c>
      <c r="CP18" s="82">
        <v>551</v>
      </c>
      <c r="CQ18" s="76">
        <f t="shared" si="62"/>
        <v>524</v>
      </c>
      <c r="CR18" s="85">
        <f t="shared" si="52"/>
        <v>95.099818511796727</v>
      </c>
      <c r="CS18" s="84">
        <v>5</v>
      </c>
      <c r="CT18" s="85">
        <f t="shared" si="53"/>
        <v>0.90744101633393826</v>
      </c>
      <c r="CU18" s="84">
        <v>22</v>
      </c>
      <c r="CV18" s="88">
        <f t="shared" si="54"/>
        <v>3.9927404718693285</v>
      </c>
      <c r="CW18" s="82">
        <v>560</v>
      </c>
      <c r="CX18" s="76">
        <f t="shared" si="63"/>
        <v>519</v>
      </c>
      <c r="CY18" s="85">
        <f t="shared" si="55"/>
        <v>92.678571428571431</v>
      </c>
      <c r="CZ18" s="84">
        <v>6</v>
      </c>
      <c r="DA18" s="85">
        <f t="shared" si="56"/>
        <v>1.0714285714285714</v>
      </c>
      <c r="DB18" s="84">
        <v>35</v>
      </c>
      <c r="DC18" s="88">
        <f t="shared" si="57"/>
        <v>6.25</v>
      </c>
      <c r="DD18" s="82">
        <v>549</v>
      </c>
      <c r="DE18" s="76">
        <f t="shared" si="64"/>
        <v>509</v>
      </c>
      <c r="DF18" s="85">
        <f t="shared" si="58"/>
        <v>92.714025500910751</v>
      </c>
      <c r="DG18" s="84">
        <v>8</v>
      </c>
      <c r="DH18" s="85">
        <f t="shared" si="59"/>
        <v>1.4571948998178506</v>
      </c>
      <c r="DI18" s="84">
        <v>32</v>
      </c>
      <c r="DJ18" s="88">
        <f t="shared" si="60"/>
        <v>5.8287795992714022</v>
      </c>
    </row>
    <row r="19" spans="1:114" s="50" customFormat="1" ht="25.2" customHeight="1" thickBot="1" x14ac:dyDescent="0.3">
      <c r="A19" s="99" t="s">
        <v>30</v>
      </c>
      <c r="B19" s="100"/>
      <c r="C19" s="101" t="e">
        <f t="shared" ref="C19:H19" si="65">SUM(C10:C18)</f>
        <v>#REF!</v>
      </c>
      <c r="D19" s="102" t="e">
        <f t="shared" si="3"/>
        <v>#REF!</v>
      </c>
      <c r="E19" s="123" t="e">
        <f t="shared" si="4"/>
        <v>#REF!</v>
      </c>
      <c r="F19" s="102">
        <f t="shared" si="65"/>
        <v>333</v>
      </c>
      <c r="G19" s="103" t="e">
        <f t="shared" si="0"/>
        <v>#REF!</v>
      </c>
      <c r="H19" s="104">
        <f t="shared" si="65"/>
        <v>273</v>
      </c>
      <c r="I19" s="105" t="e">
        <f t="shared" si="1"/>
        <v>#REF!</v>
      </c>
      <c r="J19" s="101" t="e">
        <f>SUM(J10:J18)</f>
        <v>#REF!</v>
      </c>
      <c r="K19" s="102" t="e">
        <f t="shared" si="5"/>
        <v>#REF!</v>
      </c>
      <c r="L19" s="123" t="e">
        <f t="shared" si="6"/>
        <v>#REF!</v>
      </c>
      <c r="M19" s="102">
        <f>SUM(M10:M18)</f>
        <v>369</v>
      </c>
      <c r="N19" s="103" t="e">
        <f t="shared" si="7"/>
        <v>#REF!</v>
      </c>
      <c r="O19" s="104">
        <f>SUM(O10:O18)</f>
        <v>292</v>
      </c>
      <c r="P19" s="105" t="e">
        <f>O19*100/J19</f>
        <v>#REF!</v>
      </c>
      <c r="Q19" s="101">
        <f>SUM(Q10:Q18)</f>
        <v>4198</v>
      </c>
      <c r="R19" s="102">
        <f t="shared" si="9"/>
        <v>3473</v>
      </c>
      <c r="S19" s="103">
        <f t="shared" si="10"/>
        <v>82.72987136731777</v>
      </c>
      <c r="T19" s="104">
        <f>SUM(T10:T18)</f>
        <v>437</v>
      </c>
      <c r="U19" s="103">
        <f t="shared" si="11"/>
        <v>10.409718913768462</v>
      </c>
      <c r="V19" s="104">
        <f>SUM(V10:V18)</f>
        <v>288</v>
      </c>
      <c r="W19" s="105">
        <f>V19*100/Q19</f>
        <v>6.8604097189137683</v>
      </c>
      <c r="X19" s="101">
        <f>SUM(X10:X18)</f>
        <v>4699</v>
      </c>
      <c r="Y19" s="102" t="e">
        <f t="shared" si="13"/>
        <v>#REF!</v>
      </c>
      <c r="Z19" s="123" t="e">
        <f t="shared" si="14"/>
        <v>#REF!</v>
      </c>
      <c r="AA19" s="102">
        <f>SUM(AA10:AA18)</f>
        <v>455</v>
      </c>
      <c r="AB19" s="105">
        <f t="shared" si="15"/>
        <v>9.682911257714407</v>
      </c>
      <c r="AC19" s="104" t="e">
        <f>SUM(AC10:AC18)</f>
        <v>#REF!</v>
      </c>
      <c r="AD19" s="105" t="e">
        <f t="shared" si="16"/>
        <v>#REF!</v>
      </c>
      <c r="AE19" s="101" t="e">
        <f>SUM(AE10:AE18)</f>
        <v>#REF!</v>
      </c>
      <c r="AF19" s="102" t="e">
        <f t="shared" si="17"/>
        <v>#REF!</v>
      </c>
      <c r="AG19" s="123" t="e">
        <f t="shared" si="18"/>
        <v>#REF!</v>
      </c>
      <c r="AH19" s="102">
        <f>SUM(AH10:AH18)</f>
        <v>405</v>
      </c>
      <c r="AI19" s="105" t="e">
        <f t="shared" si="19"/>
        <v>#REF!</v>
      </c>
      <c r="AJ19" s="104">
        <f>SUM(AJ10:AJ18)</f>
        <v>303</v>
      </c>
      <c r="AK19" s="105" t="e">
        <f t="shared" si="20"/>
        <v>#REF!</v>
      </c>
      <c r="AL19" s="101">
        <f>SUM(AL10:AL18)</f>
        <v>4842</v>
      </c>
      <c r="AM19" s="102">
        <f t="shared" si="21"/>
        <v>4192</v>
      </c>
      <c r="AN19" s="123">
        <f t="shared" si="22"/>
        <v>86.575795125981003</v>
      </c>
      <c r="AO19" s="102">
        <f>SUM(AO10:AO18)</f>
        <v>348</v>
      </c>
      <c r="AP19" s="105">
        <f t="shared" si="23"/>
        <v>7.1871127633209415</v>
      </c>
      <c r="AQ19" s="104">
        <f>SUM(AQ10:AQ18)</f>
        <v>302</v>
      </c>
      <c r="AR19" s="105">
        <f t="shared" si="24"/>
        <v>6.2370921106980584</v>
      </c>
      <c r="AS19" s="101">
        <f>SUM(AS10:AS18)</f>
        <v>4778</v>
      </c>
      <c r="AT19" s="102">
        <f t="shared" si="25"/>
        <v>4188</v>
      </c>
      <c r="AU19" s="123">
        <f t="shared" si="26"/>
        <v>87.651737128505644</v>
      </c>
      <c r="AV19" s="102">
        <f>SUM(AV10:AV18)</f>
        <v>291</v>
      </c>
      <c r="AW19" s="105">
        <f t="shared" si="27"/>
        <v>6.090414399330264</v>
      </c>
      <c r="AX19" s="104">
        <f>SUM(AX10:AX18)</f>
        <v>299</v>
      </c>
      <c r="AY19" s="105">
        <f t="shared" si="28"/>
        <v>6.2578484721640857</v>
      </c>
      <c r="AZ19" s="101">
        <f>SUM(AZ10:AZ18)</f>
        <v>4652</v>
      </c>
      <c r="BA19" s="102">
        <f t="shared" si="29"/>
        <v>4103</v>
      </c>
      <c r="BB19" s="123">
        <f t="shared" si="30"/>
        <v>88.198624247635422</v>
      </c>
      <c r="BC19" s="102">
        <f>SUM(BC10:BC18)</f>
        <v>234</v>
      </c>
      <c r="BD19" s="105">
        <f t="shared" si="31"/>
        <v>5.0300945829750647</v>
      </c>
      <c r="BE19" s="104">
        <f>SUM(BE10:BE18)</f>
        <v>315</v>
      </c>
      <c r="BF19" s="106">
        <f t="shared" si="32"/>
        <v>6.7712811693895096</v>
      </c>
      <c r="BG19" s="101">
        <f>SUM(BG10:BG18)</f>
        <v>4552</v>
      </c>
      <c r="BH19" s="102">
        <f t="shared" si="33"/>
        <v>4022</v>
      </c>
      <c r="BI19" s="123">
        <f t="shared" si="34"/>
        <v>88.356766256590504</v>
      </c>
      <c r="BJ19" s="102">
        <f>SUM(BJ10:BJ18)</f>
        <v>222</v>
      </c>
      <c r="BK19" s="105">
        <f t="shared" si="35"/>
        <v>4.8769771528998245</v>
      </c>
      <c r="BL19" s="104">
        <f>SUM(BL10:BL18)</f>
        <v>308</v>
      </c>
      <c r="BM19" s="106">
        <f t="shared" si="36"/>
        <v>6.7662565905096663</v>
      </c>
      <c r="BN19" s="101">
        <f>SUM(BN10:BN18)</f>
        <v>4490</v>
      </c>
      <c r="BO19" s="102">
        <f t="shared" si="37"/>
        <v>3979</v>
      </c>
      <c r="BP19" s="123">
        <f t="shared" si="38"/>
        <v>88.619153674832958</v>
      </c>
      <c r="BQ19" s="102">
        <f>SUM(BQ10:BQ18)</f>
        <v>195</v>
      </c>
      <c r="BR19" s="105">
        <f t="shared" si="39"/>
        <v>4.3429844097995547</v>
      </c>
      <c r="BS19" s="104">
        <f>SUM(BS10:BS18)</f>
        <v>316</v>
      </c>
      <c r="BT19" s="106">
        <f t="shared" si="40"/>
        <v>7.0378619153674835</v>
      </c>
      <c r="BU19" s="101">
        <f>SUM(BU10:BU18)</f>
        <v>4490</v>
      </c>
      <c r="BV19" s="102">
        <f t="shared" si="41"/>
        <v>4017</v>
      </c>
      <c r="BW19" s="123">
        <f t="shared" si="42"/>
        <v>89.465478841870819</v>
      </c>
      <c r="BX19" s="102">
        <f>SUM(BX10:BX18)</f>
        <v>148</v>
      </c>
      <c r="BY19" s="105">
        <f t="shared" si="43"/>
        <v>3.2962138084632517</v>
      </c>
      <c r="BZ19" s="104">
        <f>SUM(BZ10:BZ18)</f>
        <v>325</v>
      </c>
      <c r="CA19" s="106">
        <f t="shared" si="44"/>
        <v>7.2383073496659245</v>
      </c>
      <c r="CB19" s="101">
        <f>SUM(CB10:CB18)</f>
        <v>4415</v>
      </c>
      <c r="CC19" s="102">
        <f t="shared" si="45"/>
        <v>3980</v>
      </c>
      <c r="CD19" s="123">
        <f t="shared" si="46"/>
        <v>90.147225368063417</v>
      </c>
      <c r="CE19" s="102">
        <f>SUM(CE10:CE18)</f>
        <v>123</v>
      </c>
      <c r="CF19" s="105">
        <f t="shared" si="47"/>
        <v>2.7859569648924123</v>
      </c>
      <c r="CG19" s="104">
        <f>SUM(CG10:CG18)</f>
        <v>312</v>
      </c>
      <c r="CH19" s="106">
        <f t="shared" si="48"/>
        <v>7.0668176670441678</v>
      </c>
      <c r="CI19" s="101">
        <f>SUM(CI10:CI18)</f>
        <v>4433</v>
      </c>
      <c r="CJ19" s="102">
        <f>CI19-CL19-CN19</f>
        <v>4023</v>
      </c>
      <c r="CK19" s="123">
        <f t="shared" si="49"/>
        <v>90.751184299571392</v>
      </c>
      <c r="CL19" s="102">
        <f>SUM(CL10:CL18)</f>
        <v>98</v>
      </c>
      <c r="CM19" s="105">
        <f t="shared" si="50"/>
        <v>2.2106925332731784</v>
      </c>
      <c r="CN19" s="104">
        <f>SUM(CN10:CN18)</f>
        <v>312</v>
      </c>
      <c r="CO19" s="106">
        <f t="shared" si="51"/>
        <v>7.0381231671554252</v>
      </c>
      <c r="CP19" s="101">
        <f>SUM(CP10:CP18)</f>
        <v>4433</v>
      </c>
      <c r="CQ19" s="102">
        <f>CP19-CS19-CU19</f>
        <v>4037</v>
      </c>
      <c r="CR19" s="123">
        <f t="shared" si="52"/>
        <v>91.066997518610421</v>
      </c>
      <c r="CS19" s="102">
        <f>SUM(CS10:CS18)</f>
        <v>91</v>
      </c>
      <c r="CT19" s="105">
        <f t="shared" si="53"/>
        <v>2.0527859237536656</v>
      </c>
      <c r="CU19" s="104">
        <f>SUM(CU10:CU18)</f>
        <v>305</v>
      </c>
      <c r="CV19" s="106">
        <f t="shared" si="54"/>
        <v>6.8802165576359124</v>
      </c>
      <c r="CW19" s="101">
        <f>SUM(CW10:CW18)</f>
        <v>4279</v>
      </c>
      <c r="CX19" s="102">
        <f>CW19-CZ19-DB19</f>
        <v>3878</v>
      </c>
      <c r="CY19" s="123">
        <f t="shared" si="55"/>
        <v>90.628651554101424</v>
      </c>
      <c r="CZ19" s="102">
        <f>SUM(CZ10:CZ18)</f>
        <v>82</v>
      </c>
      <c r="DA19" s="105">
        <f t="shared" si="56"/>
        <v>1.9163355924281373</v>
      </c>
      <c r="DB19" s="104">
        <f>SUM(DB10:DB18)</f>
        <v>319</v>
      </c>
      <c r="DC19" s="106">
        <f t="shared" si="57"/>
        <v>7.4550128534704374</v>
      </c>
      <c r="DD19" s="101">
        <f>SUM(DD10:DD18)</f>
        <v>1384</v>
      </c>
      <c r="DE19" s="102">
        <f>DD19-DG19-DI19</f>
        <v>1281</v>
      </c>
      <c r="DF19" s="123">
        <f t="shared" si="58"/>
        <v>92.557803468208093</v>
      </c>
      <c r="DG19" s="102">
        <f>SUM(DG10:DG18)</f>
        <v>10</v>
      </c>
      <c r="DH19" s="105">
        <f t="shared" si="59"/>
        <v>0.7225433526011561</v>
      </c>
      <c r="DI19" s="104">
        <f>SUM(DI10:DI18)</f>
        <v>93</v>
      </c>
      <c r="DJ19" s="106">
        <f t="shared" si="60"/>
        <v>6.7196531791907512</v>
      </c>
    </row>
    <row r="20" spans="1:114" s="97" customFormat="1" x14ac:dyDescent="0.25">
      <c r="B20" s="98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</row>
    <row r="21" spans="1:114" s="97" customFormat="1" x14ac:dyDescent="0.25">
      <c r="B21" s="98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</row>
    <row r="22" spans="1:114" s="97" customFormat="1" x14ac:dyDescent="0.25">
      <c r="B22" s="98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</row>
    <row r="23" spans="1:114" s="97" customFormat="1" x14ac:dyDescent="0.25">
      <c r="B23" s="98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</row>
    <row r="24" spans="1:114" s="97" customFormat="1" x14ac:dyDescent="0.25">
      <c r="B24" s="98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</row>
    <row r="25" spans="1:114" s="97" customFormat="1" x14ac:dyDescent="0.25">
      <c r="B25" s="98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</row>
    <row r="26" spans="1:114" s="97" customFormat="1" x14ac:dyDescent="0.25">
      <c r="B26" s="98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</row>
    <row r="27" spans="1:114" s="97" customFormat="1" x14ac:dyDescent="0.25">
      <c r="B27" s="98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</row>
    <row r="28" spans="1:114" s="97" customFormat="1" x14ac:dyDescent="0.25">
      <c r="B28" s="98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</row>
    <row r="29" spans="1:114" s="97" customFormat="1" x14ac:dyDescent="0.25">
      <c r="B29" s="98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</row>
    <row r="30" spans="1:114" s="97" customFormat="1" x14ac:dyDescent="0.25">
      <c r="B30" s="98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</row>
    <row r="31" spans="1:114" s="97" customFormat="1" x14ac:dyDescent="0.25">
      <c r="B31" s="98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</row>
    <row r="32" spans="1:114" s="97" customFormat="1" x14ac:dyDescent="0.25">
      <c r="B32" s="98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</row>
    <row r="33" spans="2:72" s="97" customFormat="1" x14ac:dyDescent="0.25">
      <c r="B33" s="98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</row>
    <row r="34" spans="2:72" s="97" customFormat="1" x14ac:dyDescent="0.25">
      <c r="B34" s="98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</row>
    <row r="35" spans="2:72" s="97" customFormat="1" x14ac:dyDescent="0.25">
      <c r="B35" s="98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</row>
    <row r="36" spans="2:72" s="97" customFormat="1" x14ac:dyDescent="0.25">
      <c r="B36" s="98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</row>
    <row r="37" spans="2:72" s="97" customFormat="1" x14ac:dyDescent="0.25">
      <c r="B37" s="98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</row>
    <row r="38" spans="2:72" s="97" customFormat="1" x14ac:dyDescent="0.25">
      <c r="B38" s="98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</row>
    <row r="39" spans="2:72" s="97" customFormat="1" x14ac:dyDescent="0.25">
      <c r="B39" s="98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</row>
    <row r="40" spans="2:72" s="97" customFormat="1" x14ac:dyDescent="0.25">
      <c r="B40" s="98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</row>
    <row r="41" spans="2:72" s="97" customFormat="1" x14ac:dyDescent="0.25">
      <c r="B41" s="98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</row>
    <row r="42" spans="2:72" s="97" customFormat="1" x14ac:dyDescent="0.25">
      <c r="B42" s="98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</row>
    <row r="43" spans="2:72" s="97" customFormat="1" x14ac:dyDescent="0.25">
      <c r="B43" s="98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</row>
    <row r="44" spans="2:72" s="97" customFormat="1" x14ac:dyDescent="0.25">
      <c r="B44" s="98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</row>
    <row r="45" spans="2:72" s="97" customFormat="1" x14ac:dyDescent="0.25">
      <c r="B45" s="98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</row>
    <row r="46" spans="2:72" s="97" customFormat="1" x14ac:dyDescent="0.25">
      <c r="B46" s="98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</row>
    <row r="47" spans="2:72" s="97" customFormat="1" x14ac:dyDescent="0.25">
      <c r="B47" s="98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</row>
    <row r="48" spans="2:72" s="97" customFormat="1" x14ac:dyDescent="0.25">
      <c r="B48" s="98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</row>
    <row r="49" spans="2:72" s="97" customFormat="1" x14ac:dyDescent="0.25">
      <c r="B49" s="98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</row>
    <row r="50" spans="2:72" s="97" customFormat="1" x14ac:dyDescent="0.25">
      <c r="B50" s="98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</row>
    <row r="51" spans="2:72" s="97" customFormat="1" x14ac:dyDescent="0.25">
      <c r="B51" s="98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</row>
    <row r="52" spans="2:72" s="97" customFormat="1" x14ac:dyDescent="0.25">
      <c r="B52" s="98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</row>
    <row r="53" spans="2:72" s="97" customFormat="1" x14ac:dyDescent="0.25">
      <c r="B53" s="98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</row>
    <row r="54" spans="2:72" s="97" customFormat="1" x14ac:dyDescent="0.25">
      <c r="B54" s="98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</row>
    <row r="55" spans="2:72" s="97" customFormat="1" x14ac:dyDescent="0.25">
      <c r="B55" s="98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</row>
    <row r="56" spans="2:72" s="97" customFormat="1" x14ac:dyDescent="0.25">
      <c r="B56" s="98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</row>
    <row r="57" spans="2:72" s="97" customFormat="1" x14ac:dyDescent="0.25">
      <c r="B57" s="98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M57" s="45"/>
      <c r="BN57" s="45"/>
      <c r="BO57" s="45"/>
      <c r="BP57" s="45"/>
      <c r="BQ57" s="45"/>
      <c r="BR57" s="45"/>
      <c r="BS57" s="45"/>
      <c r="BT57" s="45"/>
    </row>
    <row r="58" spans="2:72" s="97" customFormat="1" x14ac:dyDescent="0.25">
      <c r="B58" s="98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  <c r="BK58" s="45"/>
      <c r="BL58" s="45"/>
      <c r="BM58" s="45"/>
      <c r="BN58" s="45"/>
      <c r="BO58" s="45"/>
      <c r="BP58" s="45"/>
      <c r="BQ58" s="45"/>
      <c r="BR58" s="45"/>
      <c r="BS58" s="45"/>
      <c r="BT58" s="45"/>
    </row>
    <row r="59" spans="2:72" s="97" customFormat="1" x14ac:dyDescent="0.25">
      <c r="B59" s="98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5"/>
      <c r="BD59" s="45"/>
      <c r="BE59" s="45"/>
      <c r="BF59" s="45"/>
      <c r="BG59" s="45"/>
      <c r="BH59" s="45"/>
      <c r="BI59" s="45"/>
      <c r="BJ59" s="45"/>
      <c r="BK59" s="45"/>
      <c r="BL59" s="45"/>
      <c r="BM59" s="45"/>
      <c r="BN59" s="45"/>
      <c r="BO59" s="45"/>
      <c r="BP59" s="45"/>
      <c r="BQ59" s="45"/>
      <c r="BR59" s="45"/>
      <c r="BS59" s="45"/>
      <c r="BT59" s="45"/>
    </row>
    <row r="60" spans="2:72" s="97" customFormat="1" x14ac:dyDescent="0.25">
      <c r="B60" s="98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</row>
    <row r="61" spans="2:72" s="97" customFormat="1" x14ac:dyDescent="0.25">
      <c r="B61" s="98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  <c r="BR61" s="45"/>
      <c r="BS61" s="45"/>
      <c r="BT61" s="45"/>
    </row>
    <row r="62" spans="2:72" s="97" customFormat="1" x14ac:dyDescent="0.25">
      <c r="B62" s="98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5"/>
      <c r="BS62" s="45"/>
      <c r="BT62" s="45"/>
    </row>
    <row r="63" spans="2:72" s="97" customFormat="1" x14ac:dyDescent="0.25">
      <c r="B63" s="98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</row>
    <row r="64" spans="2:72" s="97" customFormat="1" x14ac:dyDescent="0.25">
      <c r="B64" s="98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45"/>
    </row>
    <row r="65" spans="2:72" s="97" customFormat="1" x14ac:dyDescent="0.25">
      <c r="B65" s="98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</row>
    <row r="66" spans="2:72" s="97" customFormat="1" x14ac:dyDescent="0.25">
      <c r="B66" s="98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</row>
    <row r="67" spans="2:72" s="97" customFormat="1" x14ac:dyDescent="0.25">
      <c r="B67" s="98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BM67" s="45"/>
      <c r="BN67" s="45"/>
      <c r="BO67" s="45"/>
      <c r="BP67" s="45"/>
      <c r="BQ67" s="45"/>
      <c r="BR67" s="45"/>
      <c r="BS67" s="45"/>
      <c r="BT67" s="45"/>
    </row>
    <row r="68" spans="2:72" s="97" customFormat="1" x14ac:dyDescent="0.25">
      <c r="B68" s="98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</row>
    <row r="69" spans="2:72" s="97" customFormat="1" x14ac:dyDescent="0.25">
      <c r="B69" s="98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</row>
    <row r="70" spans="2:72" s="97" customFormat="1" x14ac:dyDescent="0.25">
      <c r="B70" s="98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</row>
    <row r="71" spans="2:72" s="97" customFormat="1" x14ac:dyDescent="0.25">
      <c r="B71" s="98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</row>
    <row r="72" spans="2:72" s="97" customFormat="1" x14ac:dyDescent="0.25">
      <c r="B72" s="98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</row>
    <row r="73" spans="2:72" s="97" customFormat="1" x14ac:dyDescent="0.25">
      <c r="B73" s="98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  <c r="BM73" s="45"/>
      <c r="BN73" s="45"/>
      <c r="BO73" s="45"/>
      <c r="BP73" s="45"/>
      <c r="BQ73" s="45"/>
      <c r="BR73" s="45"/>
      <c r="BS73" s="45"/>
      <c r="BT73" s="45"/>
    </row>
    <row r="74" spans="2:72" s="97" customFormat="1" x14ac:dyDescent="0.25">
      <c r="B74" s="98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</row>
    <row r="75" spans="2:72" s="97" customFormat="1" x14ac:dyDescent="0.25">
      <c r="B75" s="98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5"/>
      <c r="BS75" s="45"/>
      <c r="BT75" s="45"/>
    </row>
    <row r="76" spans="2:72" s="97" customFormat="1" x14ac:dyDescent="0.25">
      <c r="B76" s="98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45"/>
    </row>
    <row r="77" spans="2:72" s="97" customFormat="1" x14ac:dyDescent="0.25">
      <c r="B77" s="98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  <c r="BM77" s="45"/>
      <c r="BN77" s="45"/>
      <c r="BO77" s="45"/>
      <c r="BP77" s="45"/>
      <c r="BQ77" s="45"/>
      <c r="BR77" s="45"/>
      <c r="BS77" s="45"/>
      <c r="BT77" s="45"/>
    </row>
    <row r="78" spans="2:72" s="97" customFormat="1" x14ac:dyDescent="0.25">
      <c r="B78" s="98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  <c r="BM78" s="45"/>
      <c r="BN78" s="45"/>
      <c r="BO78" s="45"/>
      <c r="BP78" s="45"/>
      <c r="BQ78" s="45"/>
      <c r="BR78" s="45"/>
      <c r="BS78" s="45"/>
      <c r="BT78" s="45"/>
    </row>
    <row r="79" spans="2:72" s="97" customFormat="1" x14ac:dyDescent="0.25">
      <c r="B79" s="98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  <c r="BM79" s="45"/>
      <c r="BN79" s="45"/>
      <c r="BO79" s="45"/>
      <c r="BP79" s="45"/>
      <c r="BQ79" s="45"/>
      <c r="BR79" s="45"/>
      <c r="BS79" s="45"/>
      <c r="BT79" s="45"/>
    </row>
    <row r="80" spans="2:72" s="97" customFormat="1" x14ac:dyDescent="0.25">
      <c r="B80" s="98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5"/>
      <c r="BR80" s="45"/>
      <c r="BS80" s="45"/>
      <c r="BT80" s="45"/>
    </row>
    <row r="81" spans="2:72" s="97" customFormat="1" x14ac:dyDescent="0.25">
      <c r="B81" s="98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5"/>
      <c r="BR81" s="45"/>
      <c r="BS81" s="45"/>
      <c r="BT81" s="45"/>
    </row>
    <row r="82" spans="2:72" s="97" customFormat="1" x14ac:dyDescent="0.25">
      <c r="B82" s="98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  <c r="BM82" s="45"/>
      <c r="BN82" s="45"/>
      <c r="BO82" s="45"/>
      <c r="BP82" s="45"/>
      <c r="BQ82" s="45"/>
      <c r="BR82" s="45"/>
      <c r="BS82" s="45"/>
      <c r="BT82" s="45"/>
    </row>
    <row r="83" spans="2:72" s="97" customFormat="1" x14ac:dyDescent="0.25">
      <c r="B83" s="98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</row>
    <row r="84" spans="2:72" s="97" customFormat="1" x14ac:dyDescent="0.25">
      <c r="B84" s="98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</row>
    <row r="85" spans="2:72" s="97" customFormat="1" x14ac:dyDescent="0.25">
      <c r="B85" s="98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  <c r="BM85" s="45"/>
      <c r="BN85" s="45"/>
      <c r="BO85" s="45"/>
      <c r="BP85" s="45"/>
      <c r="BQ85" s="45"/>
      <c r="BR85" s="45"/>
      <c r="BS85" s="45"/>
      <c r="BT85" s="45"/>
    </row>
    <row r="86" spans="2:72" s="97" customFormat="1" x14ac:dyDescent="0.25">
      <c r="B86" s="98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  <c r="BM86" s="45"/>
      <c r="BN86" s="45"/>
      <c r="BO86" s="45"/>
      <c r="BP86" s="45"/>
      <c r="BQ86" s="45"/>
      <c r="BR86" s="45"/>
      <c r="BS86" s="45"/>
      <c r="BT86" s="45"/>
    </row>
    <row r="87" spans="2:72" s="97" customFormat="1" x14ac:dyDescent="0.25">
      <c r="B87" s="98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  <c r="BM87" s="45"/>
      <c r="BN87" s="45"/>
      <c r="BO87" s="45"/>
      <c r="BP87" s="45"/>
      <c r="BQ87" s="45"/>
      <c r="BR87" s="45"/>
      <c r="BS87" s="45"/>
      <c r="BT87" s="45"/>
    </row>
    <row r="88" spans="2:72" s="97" customFormat="1" x14ac:dyDescent="0.25">
      <c r="B88" s="98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</row>
    <row r="89" spans="2:72" s="97" customFormat="1" x14ac:dyDescent="0.25">
      <c r="B89" s="98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</row>
    <row r="90" spans="2:72" s="97" customFormat="1" x14ac:dyDescent="0.25">
      <c r="B90" s="98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</row>
    <row r="91" spans="2:72" s="97" customFormat="1" x14ac:dyDescent="0.25">
      <c r="B91" s="98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</row>
    <row r="92" spans="2:72" s="97" customFormat="1" x14ac:dyDescent="0.25">
      <c r="B92" s="98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</row>
    <row r="93" spans="2:72" s="97" customFormat="1" x14ac:dyDescent="0.25">
      <c r="B93" s="98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</row>
    <row r="94" spans="2:72" s="97" customFormat="1" x14ac:dyDescent="0.25">
      <c r="B94" s="98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</row>
    <row r="95" spans="2:72" s="97" customFormat="1" x14ac:dyDescent="0.25">
      <c r="B95" s="98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</row>
    <row r="96" spans="2:72" s="97" customFormat="1" x14ac:dyDescent="0.25">
      <c r="B96" s="98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</row>
    <row r="97" spans="2:72" s="97" customFormat="1" x14ac:dyDescent="0.25">
      <c r="B97" s="98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</row>
    <row r="98" spans="2:72" s="97" customFormat="1" x14ac:dyDescent="0.25">
      <c r="B98" s="98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</row>
    <row r="99" spans="2:72" s="97" customFormat="1" x14ac:dyDescent="0.25">
      <c r="B99" s="98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</row>
    <row r="100" spans="2:72" s="97" customFormat="1" x14ac:dyDescent="0.25">
      <c r="B100" s="98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</row>
    <row r="101" spans="2:72" s="97" customFormat="1" x14ac:dyDescent="0.25">
      <c r="B101" s="98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  <c r="BB101" s="45"/>
      <c r="BC101" s="45"/>
      <c r="BD101" s="45"/>
      <c r="BE101" s="45"/>
      <c r="BF101" s="45"/>
      <c r="BG101" s="45"/>
      <c r="BH101" s="45"/>
      <c r="BI101" s="45"/>
      <c r="BJ101" s="45"/>
      <c r="BK101" s="45"/>
      <c r="BL101" s="45"/>
      <c r="BM101" s="45"/>
      <c r="BN101" s="45"/>
      <c r="BO101" s="45"/>
      <c r="BP101" s="45"/>
      <c r="BQ101" s="45"/>
      <c r="BR101" s="45"/>
      <c r="BS101" s="45"/>
      <c r="BT101" s="45"/>
    </row>
    <row r="102" spans="2:72" s="97" customFormat="1" x14ac:dyDescent="0.25">
      <c r="B102" s="98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45"/>
    </row>
    <row r="103" spans="2:72" s="97" customFormat="1" x14ac:dyDescent="0.25">
      <c r="B103" s="98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AY103" s="45"/>
      <c r="AZ103" s="45"/>
      <c r="BA103" s="45"/>
      <c r="BB103" s="45"/>
      <c r="BC103" s="45"/>
      <c r="BD103" s="45"/>
      <c r="BE103" s="45"/>
      <c r="BF103" s="45"/>
      <c r="BG103" s="45"/>
      <c r="BH103" s="45"/>
      <c r="BI103" s="45"/>
      <c r="BJ103" s="45"/>
      <c r="BK103" s="45"/>
      <c r="BL103" s="45"/>
      <c r="BM103" s="45"/>
      <c r="BN103" s="45"/>
      <c r="BO103" s="45"/>
      <c r="BP103" s="45"/>
      <c r="BQ103" s="45"/>
      <c r="BR103" s="45"/>
      <c r="BS103" s="45"/>
      <c r="BT103" s="45"/>
    </row>
    <row r="104" spans="2:72" s="97" customFormat="1" x14ac:dyDescent="0.25">
      <c r="B104" s="98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  <c r="BB104" s="45"/>
      <c r="BC104" s="45"/>
      <c r="BD104" s="45"/>
      <c r="BE104" s="45"/>
      <c r="BF104" s="45"/>
      <c r="BG104" s="45"/>
      <c r="BH104" s="45"/>
      <c r="BI104" s="45"/>
      <c r="BJ104" s="45"/>
      <c r="BK104" s="45"/>
      <c r="BL104" s="45"/>
      <c r="BM104" s="45"/>
      <c r="BN104" s="45"/>
      <c r="BO104" s="45"/>
      <c r="BP104" s="45"/>
      <c r="BQ104" s="45"/>
      <c r="BR104" s="45"/>
      <c r="BS104" s="45"/>
      <c r="BT104" s="45"/>
    </row>
    <row r="105" spans="2:72" s="97" customFormat="1" x14ac:dyDescent="0.25">
      <c r="B105" s="98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</row>
    <row r="106" spans="2:72" s="97" customFormat="1" x14ac:dyDescent="0.25">
      <c r="B106" s="98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  <c r="BB106" s="45"/>
      <c r="BC106" s="45"/>
      <c r="BD106" s="45"/>
      <c r="BE106" s="45"/>
      <c r="BF106" s="45"/>
      <c r="BG106" s="45"/>
      <c r="BH106" s="45"/>
      <c r="BI106" s="45"/>
      <c r="BJ106" s="45"/>
      <c r="BK106" s="45"/>
      <c r="BL106" s="45"/>
      <c r="BM106" s="45"/>
      <c r="BN106" s="45"/>
      <c r="BO106" s="45"/>
      <c r="BP106" s="45"/>
      <c r="BQ106" s="45"/>
      <c r="BR106" s="45"/>
      <c r="BS106" s="45"/>
      <c r="BT106" s="45"/>
    </row>
    <row r="107" spans="2:72" s="97" customFormat="1" x14ac:dyDescent="0.25">
      <c r="B107" s="98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  <c r="BI107" s="45"/>
      <c r="BJ107" s="45"/>
      <c r="BK107" s="45"/>
      <c r="BL107" s="45"/>
      <c r="BM107" s="45"/>
      <c r="BN107" s="45"/>
      <c r="BO107" s="45"/>
      <c r="BP107" s="45"/>
      <c r="BQ107" s="45"/>
      <c r="BR107" s="45"/>
      <c r="BS107" s="45"/>
      <c r="BT107" s="45"/>
    </row>
    <row r="108" spans="2:72" s="97" customFormat="1" x14ac:dyDescent="0.25">
      <c r="B108" s="98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  <c r="AY108" s="45"/>
      <c r="AZ108" s="45"/>
      <c r="BA108" s="45"/>
      <c r="BB108" s="45"/>
      <c r="BC108" s="45"/>
      <c r="BD108" s="45"/>
      <c r="BE108" s="45"/>
      <c r="BF108" s="45"/>
      <c r="BG108" s="45"/>
      <c r="BH108" s="45"/>
      <c r="BI108" s="45"/>
      <c r="BJ108" s="45"/>
      <c r="BK108" s="45"/>
      <c r="BL108" s="45"/>
      <c r="BM108" s="45"/>
      <c r="BN108" s="45"/>
      <c r="BO108" s="45"/>
      <c r="BP108" s="45"/>
      <c r="BQ108" s="45"/>
      <c r="BR108" s="45"/>
      <c r="BS108" s="45"/>
      <c r="BT108" s="45"/>
    </row>
    <row r="109" spans="2:72" s="97" customFormat="1" x14ac:dyDescent="0.25">
      <c r="B109" s="98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  <c r="BM109" s="45"/>
      <c r="BN109" s="45"/>
      <c r="BO109" s="45"/>
      <c r="BP109" s="45"/>
      <c r="BQ109" s="45"/>
      <c r="BR109" s="45"/>
      <c r="BS109" s="45"/>
      <c r="BT109" s="45"/>
    </row>
    <row r="110" spans="2:72" s="97" customFormat="1" x14ac:dyDescent="0.25">
      <c r="B110" s="98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  <c r="AY110" s="45"/>
      <c r="AZ110" s="45"/>
      <c r="BA110" s="45"/>
      <c r="BB110" s="45"/>
      <c r="BC110" s="45"/>
      <c r="BD110" s="45"/>
      <c r="BE110" s="45"/>
      <c r="BF110" s="45"/>
      <c r="BG110" s="45"/>
      <c r="BH110" s="45"/>
      <c r="BI110" s="45"/>
      <c r="BJ110" s="45"/>
      <c r="BK110" s="45"/>
      <c r="BL110" s="45"/>
      <c r="BM110" s="45"/>
      <c r="BN110" s="45"/>
      <c r="BO110" s="45"/>
      <c r="BP110" s="45"/>
      <c r="BQ110" s="45"/>
      <c r="BR110" s="45"/>
      <c r="BS110" s="45"/>
      <c r="BT110" s="45"/>
    </row>
    <row r="111" spans="2:72" s="97" customFormat="1" x14ac:dyDescent="0.25">
      <c r="B111" s="98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  <c r="BM111" s="45"/>
      <c r="BN111" s="45"/>
      <c r="BO111" s="45"/>
      <c r="BP111" s="45"/>
      <c r="BQ111" s="45"/>
      <c r="BR111" s="45"/>
      <c r="BS111" s="45"/>
      <c r="BT111" s="45"/>
    </row>
    <row r="112" spans="2:72" s="97" customFormat="1" x14ac:dyDescent="0.25">
      <c r="B112" s="98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  <c r="AY112" s="45"/>
      <c r="AZ112" s="45"/>
      <c r="BA112" s="45"/>
      <c r="BB112" s="45"/>
      <c r="BC112" s="45"/>
      <c r="BD112" s="45"/>
      <c r="BE112" s="45"/>
      <c r="BF112" s="45"/>
      <c r="BG112" s="45"/>
      <c r="BH112" s="45"/>
      <c r="BI112" s="45"/>
      <c r="BJ112" s="45"/>
      <c r="BK112" s="45"/>
      <c r="BL112" s="45"/>
      <c r="BM112" s="45"/>
      <c r="BN112" s="45"/>
      <c r="BO112" s="45"/>
      <c r="BP112" s="45"/>
      <c r="BQ112" s="45"/>
      <c r="BR112" s="45"/>
      <c r="BS112" s="45"/>
      <c r="BT112" s="45"/>
    </row>
    <row r="113" spans="2:72" s="97" customFormat="1" x14ac:dyDescent="0.25">
      <c r="B113" s="98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</row>
    <row r="114" spans="2:72" s="97" customFormat="1" x14ac:dyDescent="0.25">
      <c r="B114" s="98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  <c r="AL114" s="45"/>
      <c r="AM114" s="45"/>
      <c r="AN114" s="45"/>
      <c r="AO114" s="45"/>
      <c r="AP114" s="45"/>
      <c r="AQ114" s="45"/>
      <c r="AR114" s="45"/>
      <c r="AS114" s="45"/>
      <c r="AT114" s="45"/>
      <c r="AU114" s="45"/>
      <c r="AV114" s="45"/>
      <c r="AW114" s="45"/>
      <c r="AX114" s="45"/>
      <c r="AY114" s="45"/>
      <c r="AZ114" s="45"/>
      <c r="BA114" s="45"/>
      <c r="BB114" s="45"/>
      <c r="BC114" s="45"/>
      <c r="BD114" s="45"/>
      <c r="BE114" s="45"/>
      <c r="BF114" s="45"/>
      <c r="BG114" s="45"/>
      <c r="BH114" s="45"/>
      <c r="BI114" s="45"/>
      <c r="BJ114" s="45"/>
      <c r="BK114" s="45"/>
      <c r="BL114" s="45"/>
      <c r="BM114" s="45"/>
      <c r="BN114" s="45"/>
      <c r="BO114" s="45"/>
      <c r="BP114" s="45"/>
      <c r="BQ114" s="45"/>
      <c r="BR114" s="45"/>
      <c r="BS114" s="45"/>
      <c r="BT114" s="45"/>
    </row>
    <row r="115" spans="2:72" s="97" customFormat="1" x14ac:dyDescent="0.25">
      <c r="B115" s="98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  <c r="BK115" s="45"/>
      <c r="BL115" s="45"/>
      <c r="BM115" s="45"/>
      <c r="BN115" s="45"/>
      <c r="BO115" s="45"/>
      <c r="BP115" s="45"/>
      <c r="BQ115" s="45"/>
      <c r="BR115" s="45"/>
      <c r="BS115" s="45"/>
      <c r="BT115" s="45"/>
    </row>
    <row r="116" spans="2:72" s="97" customFormat="1" x14ac:dyDescent="0.25">
      <c r="B116" s="98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  <c r="BB116" s="45"/>
      <c r="BC116" s="45"/>
      <c r="BD116" s="45"/>
      <c r="BE116" s="45"/>
      <c r="BF116" s="45"/>
      <c r="BG116" s="45"/>
      <c r="BH116" s="45"/>
      <c r="BI116" s="45"/>
      <c r="BJ116" s="45"/>
      <c r="BK116" s="45"/>
      <c r="BL116" s="45"/>
      <c r="BM116" s="45"/>
      <c r="BN116" s="45"/>
      <c r="BO116" s="45"/>
      <c r="BP116" s="45"/>
      <c r="BQ116" s="45"/>
      <c r="BR116" s="45"/>
      <c r="BS116" s="45"/>
      <c r="BT116" s="45"/>
    </row>
    <row r="117" spans="2:72" s="97" customFormat="1" x14ac:dyDescent="0.25">
      <c r="B117" s="98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5"/>
      <c r="BL117" s="45"/>
      <c r="BM117" s="45"/>
      <c r="BN117" s="45"/>
      <c r="BO117" s="45"/>
      <c r="BP117" s="45"/>
      <c r="BQ117" s="45"/>
      <c r="BR117" s="45"/>
      <c r="BS117" s="45"/>
      <c r="BT117" s="45"/>
    </row>
    <row r="118" spans="2:72" s="97" customFormat="1" x14ac:dyDescent="0.25">
      <c r="B118" s="98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  <c r="AY118" s="45"/>
      <c r="AZ118" s="45"/>
      <c r="BA118" s="45"/>
      <c r="BB118" s="45"/>
      <c r="BC118" s="45"/>
      <c r="BD118" s="45"/>
      <c r="BE118" s="45"/>
      <c r="BF118" s="45"/>
      <c r="BG118" s="45"/>
      <c r="BH118" s="45"/>
      <c r="BI118" s="45"/>
      <c r="BJ118" s="45"/>
      <c r="BK118" s="45"/>
      <c r="BL118" s="45"/>
      <c r="BM118" s="45"/>
      <c r="BN118" s="45"/>
      <c r="BO118" s="45"/>
      <c r="BP118" s="45"/>
      <c r="BQ118" s="45"/>
      <c r="BR118" s="45"/>
      <c r="BS118" s="45"/>
      <c r="BT118" s="45"/>
    </row>
    <row r="119" spans="2:72" s="97" customFormat="1" x14ac:dyDescent="0.25">
      <c r="B119" s="98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  <c r="AM119" s="45"/>
      <c r="AN119" s="45"/>
      <c r="AO119" s="45"/>
      <c r="AP119" s="45"/>
      <c r="AQ119" s="45"/>
      <c r="AR119" s="45"/>
      <c r="AS119" s="45"/>
      <c r="AT119" s="45"/>
      <c r="AU119" s="45"/>
      <c r="AV119" s="45"/>
      <c r="AW119" s="45"/>
      <c r="AX119" s="45"/>
      <c r="AY119" s="45"/>
      <c r="AZ119" s="45"/>
      <c r="BA119" s="45"/>
      <c r="BB119" s="45"/>
      <c r="BC119" s="45"/>
      <c r="BD119" s="45"/>
      <c r="BE119" s="45"/>
      <c r="BF119" s="45"/>
      <c r="BG119" s="45"/>
      <c r="BH119" s="45"/>
      <c r="BI119" s="45"/>
      <c r="BJ119" s="45"/>
      <c r="BK119" s="45"/>
      <c r="BL119" s="45"/>
      <c r="BM119" s="45"/>
      <c r="BN119" s="45"/>
      <c r="BO119" s="45"/>
      <c r="BP119" s="45"/>
      <c r="BQ119" s="45"/>
      <c r="BR119" s="45"/>
      <c r="BS119" s="45"/>
      <c r="BT119" s="45"/>
    </row>
    <row r="120" spans="2:72" s="97" customFormat="1" x14ac:dyDescent="0.25">
      <c r="B120" s="98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  <c r="AN120" s="45"/>
      <c r="AO120" s="45"/>
      <c r="AP120" s="45"/>
      <c r="AQ120" s="45"/>
      <c r="AR120" s="45"/>
      <c r="AS120" s="45"/>
      <c r="AT120" s="45"/>
      <c r="AU120" s="45"/>
      <c r="AV120" s="45"/>
      <c r="AW120" s="45"/>
      <c r="AX120" s="45"/>
      <c r="AY120" s="45"/>
      <c r="AZ120" s="45"/>
      <c r="BA120" s="45"/>
      <c r="BB120" s="45"/>
      <c r="BC120" s="45"/>
      <c r="BD120" s="45"/>
      <c r="BE120" s="45"/>
      <c r="BF120" s="45"/>
      <c r="BG120" s="45"/>
      <c r="BH120" s="45"/>
      <c r="BI120" s="45"/>
      <c r="BJ120" s="45"/>
      <c r="BK120" s="45"/>
      <c r="BL120" s="45"/>
      <c r="BM120" s="45"/>
      <c r="BN120" s="45"/>
      <c r="BO120" s="45"/>
      <c r="BP120" s="45"/>
      <c r="BQ120" s="45"/>
      <c r="BR120" s="45"/>
      <c r="BS120" s="45"/>
      <c r="BT120" s="45"/>
    </row>
    <row r="121" spans="2:72" s="97" customFormat="1" x14ac:dyDescent="0.25">
      <c r="B121" s="98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  <c r="BO121" s="45"/>
      <c r="BP121" s="45"/>
      <c r="BQ121" s="45"/>
      <c r="BR121" s="45"/>
      <c r="BS121" s="45"/>
      <c r="BT121" s="45"/>
    </row>
    <row r="122" spans="2:72" s="97" customFormat="1" x14ac:dyDescent="0.25">
      <c r="B122" s="98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  <c r="BO122" s="45"/>
      <c r="BP122" s="45"/>
      <c r="BQ122" s="45"/>
      <c r="BR122" s="45"/>
      <c r="BS122" s="45"/>
      <c r="BT122" s="45"/>
    </row>
    <row r="123" spans="2:72" s="97" customFormat="1" x14ac:dyDescent="0.25">
      <c r="B123" s="98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</row>
    <row r="124" spans="2:72" s="97" customFormat="1" x14ac:dyDescent="0.25">
      <c r="B124" s="98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  <c r="BO124" s="45"/>
      <c r="BP124" s="45"/>
      <c r="BQ124" s="45"/>
      <c r="BR124" s="45"/>
      <c r="BS124" s="45"/>
      <c r="BT124" s="45"/>
    </row>
    <row r="125" spans="2:72" s="97" customFormat="1" x14ac:dyDescent="0.25">
      <c r="B125" s="98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  <c r="BO125" s="45"/>
      <c r="BP125" s="45"/>
      <c r="BQ125" s="45"/>
      <c r="BR125" s="45"/>
      <c r="BS125" s="45"/>
      <c r="BT125" s="45"/>
    </row>
    <row r="126" spans="2:72" s="97" customFormat="1" x14ac:dyDescent="0.25">
      <c r="B126" s="98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  <c r="BO126" s="45"/>
      <c r="BP126" s="45"/>
      <c r="BQ126" s="45"/>
      <c r="BR126" s="45"/>
      <c r="BS126" s="45"/>
      <c r="BT126" s="45"/>
    </row>
    <row r="127" spans="2:72" s="97" customFormat="1" x14ac:dyDescent="0.25">
      <c r="B127" s="98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  <c r="BO127" s="45"/>
      <c r="BP127" s="45"/>
      <c r="BQ127" s="45"/>
      <c r="BR127" s="45"/>
      <c r="BS127" s="45"/>
      <c r="BT127" s="45"/>
    </row>
    <row r="128" spans="2:72" s="97" customFormat="1" x14ac:dyDescent="0.25">
      <c r="B128" s="98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  <c r="AO128" s="45"/>
      <c r="AP128" s="45"/>
      <c r="AQ128" s="45"/>
      <c r="AR128" s="45"/>
      <c r="AS128" s="45"/>
      <c r="AT128" s="45"/>
      <c r="AU128" s="45"/>
      <c r="AV128" s="45"/>
      <c r="AW128" s="45"/>
      <c r="AX128" s="45"/>
      <c r="AY128" s="45"/>
      <c r="AZ128" s="45"/>
      <c r="BA128" s="45"/>
      <c r="BB128" s="45"/>
      <c r="BC128" s="45"/>
      <c r="BD128" s="45"/>
      <c r="BE128" s="45"/>
      <c r="BF128" s="45"/>
      <c r="BG128" s="45"/>
      <c r="BH128" s="45"/>
      <c r="BI128" s="45"/>
      <c r="BJ128" s="45"/>
      <c r="BK128" s="45"/>
      <c r="BL128" s="45"/>
      <c r="BM128" s="45"/>
      <c r="BN128" s="45"/>
      <c r="BO128" s="45"/>
      <c r="BP128" s="45"/>
      <c r="BQ128" s="45"/>
      <c r="BR128" s="45"/>
      <c r="BS128" s="45"/>
      <c r="BT128" s="45"/>
    </row>
    <row r="129" spans="2:72" s="97" customFormat="1" x14ac:dyDescent="0.25">
      <c r="B129" s="98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5"/>
      <c r="AP129" s="45"/>
      <c r="AQ129" s="45"/>
      <c r="AR129" s="45"/>
      <c r="AS129" s="45"/>
      <c r="AT129" s="45"/>
      <c r="AU129" s="45"/>
      <c r="AV129" s="45"/>
      <c r="AW129" s="45"/>
      <c r="AX129" s="45"/>
      <c r="AY129" s="45"/>
      <c r="AZ129" s="45"/>
      <c r="BA129" s="45"/>
      <c r="BB129" s="45"/>
      <c r="BC129" s="45"/>
      <c r="BD129" s="45"/>
      <c r="BE129" s="45"/>
      <c r="BF129" s="45"/>
      <c r="BG129" s="45"/>
      <c r="BH129" s="45"/>
      <c r="BI129" s="45"/>
      <c r="BJ129" s="45"/>
      <c r="BK129" s="45"/>
      <c r="BL129" s="45"/>
      <c r="BM129" s="45"/>
      <c r="BN129" s="45"/>
      <c r="BO129" s="45"/>
      <c r="BP129" s="45"/>
      <c r="BQ129" s="45"/>
      <c r="BR129" s="45"/>
      <c r="BS129" s="45"/>
      <c r="BT129" s="45"/>
    </row>
    <row r="130" spans="2:72" s="97" customFormat="1" x14ac:dyDescent="0.25">
      <c r="B130" s="98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  <c r="AN130" s="45"/>
      <c r="AO130" s="45"/>
      <c r="AP130" s="45"/>
      <c r="AQ130" s="45"/>
      <c r="AR130" s="45"/>
      <c r="AS130" s="45"/>
      <c r="AT130" s="45"/>
      <c r="AU130" s="45"/>
      <c r="AV130" s="45"/>
      <c r="AW130" s="45"/>
      <c r="AX130" s="45"/>
      <c r="AY130" s="45"/>
      <c r="AZ130" s="45"/>
      <c r="BA130" s="45"/>
      <c r="BB130" s="45"/>
      <c r="BC130" s="45"/>
      <c r="BD130" s="45"/>
      <c r="BE130" s="45"/>
      <c r="BF130" s="45"/>
      <c r="BG130" s="45"/>
      <c r="BH130" s="45"/>
      <c r="BI130" s="45"/>
      <c r="BJ130" s="45"/>
      <c r="BK130" s="45"/>
      <c r="BL130" s="45"/>
      <c r="BM130" s="45"/>
      <c r="BN130" s="45"/>
      <c r="BO130" s="45"/>
      <c r="BP130" s="45"/>
      <c r="BQ130" s="45"/>
      <c r="BR130" s="45"/>
      <c r="BS130" s="45"/>
      <c r="BT130" s="45"/>
    </row>
    <row r="131" spans="2:72" s="97" customFormat="1" x14ac:dyDescent="0.25">
      <c r="B131" s="98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  <c r="AM131" s="45"/>
      <c r="AN131" s="45"/>
      <c r="AO131" s="45"/>
      <c r="AP131" s="45"/>
      <c r="AQ131" s="45"/>
      <c r="AR131" s="45"/>
      <c r="AS131" s="45"/>
      <c r="AT131" s="45"/>
      <c r="AU131" s="45"/>
      <c r="AV131" s="45"/>
      <c r="AW131" s="45"/>
      <c r="AX131" s="45"/>
      <c r="AY131" s="45"/>
      <c r="AZ131" s="45"/>
      <c r="BA131" s="45"/>
      <c r="BB131" s="45"/>
      <c r="BC131" s="45"/>
      <c r="BD131" s="45"/>
      <c r="BE131" s="45"/>
      <c r="BF131" s="45"/>
      <c r="BG131" s="45"/>
      <c r="BH131" s="45"/>
      <c r="BI131" s="45"/>
      <c r="BJ131" s="45"/>
      <c r="BK131" s="45"/>
      <c r="BL131" s="45"/>
      <c r="BM131" s="45"/>
      <c r="BN131" s="45"/>
      <c r="BO131" s="45"/>
      <c r="BP131" s="45"/>
      <c r="BQ131" s="45"/>
      <c r="BR131" s="45"/>
      <c r="BS131" s="45"/>
      <c r="BT131" s="45"/>
    </row>
    <row r="132" spans="2:72" s="97" customFormat="1" x14ac:dyDescent="0.25">
      <c r="B132" s="98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  <c r="AM132" s="45"/>
      <c r="AN132" s="45"/>
      <c r="AO132" s="45"/>
      <c r="AP132" s="45"/>
      <c r="AQ132" s="45"/>
      <c r="AR132" s="45"/>
      <c r="AS132" s="45"/>
      <c r="AT132" s="45"/>
      <c r="AU132" s="45"/>
      <c r="AV132" s="45"/>
      <c r="AW132" s="45"/>
      <c r="AX132" s="45"/>
      <c r="AY132" s="45"/>
      <c r="AZ132" s="45"/>
      <c r="BA132" s="45"/>
      <c r="BB132" s="45"/>
      <c r="BC132" s="45"/>
      <c r="BD132" s="45"/>
      <c r="BE132" s="45"/>
      <c r="BF132" s="45"/>
      <c r="BG132" s="45"/>
      <c r="BH132" s="45"/>
      <c r="BI132" s="45"/>
      <c r="BJ132" s="45"/>
      <c r="BK132" s="45"/>
      <c r="BL132" s="45"/>
      <c r="BM132" s="45"/>
      <c r="BN132" s="45"/>
      <c r="BO132" s="45"/>
      <c r="BP132" s="45"/>
      <c r="BQ132" s="45"/>
      <c r="BR132" s="45"/>
      <c r="BS132" s="45"/>
      <c r="BT132" s="45"/>
    </row>
    <row r="133" spans="2:72" s="97" customFormat="1" x14ac:dyDescent="0.25">
      <c r="B133" s="98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5"/>
      <c r="AO133" s="45"/>
      <c r="AP133" s="45"/>
      <c r="AQ133" s="45"/>
      <c r="AR133" s="45"/>
      <c r="AS133" s="45"/>
      <c r="AT133" s="45"/>
      <c r="AU133" s="45"/>
      <c r="AV133" s="45"/>
      <c r="AW133" s="45"/>
      <c r="AX133" s="45"/>
      <c r="AY133" s="45"/>
      <c r="AZ133" s="45"/>
      <c r="BA133" s="45"/>
      <c r="BB133" s="45"/>
      <c r="BC133" s="45"/>
      <c r="BD133" s="45"/>
      <c r="BE133" s="45"/>
      <c r="BF133" s="45"/>
      <c r="BG133" s="45"/>
      <c r="BH133" s="45"/>
      <c r="BI133" s="45"/>
      <c r="BJ133" s="45"/>
      <c r="BK133" s="45"/>
      <c r="BL133" s="45"/>
      <c r="BM133" s="45"/>
      <c r="BN133" s="45"/>
      <c r="BO133" s="45"/>
      <c r="BP133" s="45"/>
      <c r="BQ133" s="45"/>
      <c r="BR133" s="45"/>
      <c r="BS133" s="45"/>
      <c r="BT133" s="45"/>
    </row>
    <row r="134" spans="2:72" s="97" customFormat="1" x14ac:dyDescent="0.25">
      <c r="B134" s="98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5"/>
      <c r="AP134" s="45"/>
      <c r="AQ134" s="45"/>
      <c r="AR134" s="45"/>
      <c r="AS134" s="45"/>
      <c r="AT134" s="45"/>
      <c r="AU134" s="45"/>
      <c r="AV134" s="45"/>
      <c r="AW134" s="45"/>
      <c r="AX134" s="45"/>
      <c r="AY134" s="45"/>
      <c r="AZ134" s="45"/>
      <c r="BA134" s="45"/>
      <c r="BB134" s="45"/>
      <c r="BC134" s="45"/>
      <c r="BD134" s="45"/>
      <c r="BE134" s="45"/>
      <c r="BF134" s="45"/>
      <c r="BG134" s="45"/>
      <c r="BH134" s="45"/>
      <c r="BI134" s="45"/>
      <c r="BJ134" s="45"/>
      <c r="BK134" s="45"/>
      <c r="BL134" s="45"/>
      <c r="BM134" s="45"/>
      <c r="BN134" s="45"/>
      <c r="BO134" s="45"/>
      <c r="BP134" s="45"/>
      <c r="BQ134" s="45"/>
      <c r="BR134" s="45"/>
      <c r="BS134" s="45"/>
      <c r="BT134" s="45"/>
    </row>
    <row r="135" spans="2:72" s="97" customFormat="1" x14ac:dyDescent="0.25">
      <c r="B135" s="98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  <c r="AM135" s="45"/>
      <c r="AN135" s="45"/>
      <c r="AO135" s="45"/>
      <c r="AP135" s="45"/>
      <c r="AQ135" s="45"/>
      <c r="AR135" s="45"/>
      <c r="AS135" s="45"/>
      <c r="AT135" s="45"/>
      <c r="AU135" s="45"/>
      <c r="AV135" s="45"/>
      <c r="AW135" s="45"/>
      <c r="AX135" s="45"/>
      <c r="AY135" s="45"/>
      <c r="AZ135" s="45"/>
      <c r="BA135" s="45"/>
      <c r="BB135" s="45"/>
      <c r="BC135" s="45"/>
      <c r="BD135" s="45"/>
      <c r="BE135" s="45"/>
      <c r="BF135" s="45"/>
      <c r="BG135" s="45"/>
      <c r="BH135" s="45"/>
      <c r="BI135" s="45"/>
      <c r="BJ135" s="45"/>
      <c r="BK135" s="45"/>
      <c r="BL135" s="45"/>
      <c r="BM135" s="45"/>
      <c r="BN135" s="45"/>
      <c r="BO135" s="45"/>
      <c r="BP135" s="45"/>
      <c r="BQ135" s="45"/>
      <c r="BR135" s="45"/>
      <c r="BS135" s="45"/>
      <c r="BT135" s="45"/>
    </row>
    <row r="136" spans="2:72" s="97" customFormat="1" x14ac:dyDescent="0.25">
      <c r="B136" s="98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  <c r="AN136" s="45"/>
      <c r="AO136" s="45"/>
      <c r="AP136" s="45"/>
      <c r="AQ136" s="45"/>
      <c r="AR136" s="45"/>
      <c r="AS136" s="45"/>
      <c r="AT136" s="45"/>
      <c r="AU136" s="45"/>
      <c r="AV136" s="45"/>
      <c r="AW136" s="45"/>
      <c r="AX136" s="45"/>
      <c r="AY136" s="45"/>
      <c r="AZ136" s="45"/>
      <c r="BA136" s="45"/>
      <c r="BB136" s="45"/>
      <c r="BC136" s="45"/>
      <c r="BD136" s="45"/>
      <c r="BE136" s="45"/>
      <c r="BF136" s="45"/>
      <c r="BG136" s="45"/>
      <c r="BH136" s="45"/>
      <c r="BI136" s="45"/>
      <c r="BJ136" s="45"/>
      <c r="BK136" s="45"/>
      <c r="BL136" s="45"/>
      <c r="BM136" s="45"/>
      <c r="BN136" s="45"/>
      <c r="BO136" s="45"/>
      <c r="BP136" s="45"/>
      <c r="BQ136" s="45"/>
      <c r="BR136" s="45"/>
      <c r="BS136" s="45"/>
      <c r="BT136" s="45"/>
    </row>
    <row r="137" spans="2:72" s="97" customFormat="1" x14ac:dyDescent="0.25">
      <c r="B137" s="98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45"/>
      <c r="AL137" s="45"/>
      <c r="AM137" s="45"/>
      <c r="AN137" s="45"/>
      <c r="AO137" s="45"/>
      <c r="AP137" s="45"/>
      <c r="AQ137" s="45"/>
      <c r="AR137" s="45"/>
      <c r="AS137" s="45"/>
      <c r="AT137" s="45"/>
      <c r="AU137" s="45"/>
      <c r="AV137" s="45"/>
      <c r="AW137" s="45"/>
      <c r="AX137" s="45"/>
      <c r="AY137" s="45"/>
      <c r="AZ137" s="45"/>
      <c r="BA137" s="45"/>
      <c r="BB137" s="45"/>
      <c r="BC137" s="45"/>
      <c r="BD137" s="45"/>
      <c r="BE137" s="45"/>
      <c r="BF137" s="45"/>
      <c r="BG137" s="45"/>
      <c r="BH137" s="45"/>
      <c r="BI137" s="45"/>
      <c r="BJ137" s="45"/>
      <c r="BK137" s="45"/>
      <c r="BL137" s="45"/>
      <c r="BM137" s="45"/>
      <c r="BN137" s="45"/>
      <c r="BO137" s="45"/>
      <c r="BP137" s="45"/>
      <c r="BQ137" s="45"/>
      <c r="BR137" s="45"/>
      <c r="BS137" s="45"/>
      <c r="BT137" s="45"/>
    </row>
    <row r="138" spans="2:72" s="97" customFormat="1" x14ac:dyDescent="0.25">
      <c r="B138" s="98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45"/>
      <c r="AL138" s="45"/>
      <c r="AM138" s="45"/>
      <c r="AN138" s="45"/>
      <c r="AO138" s="45"/>
      <c r="AP138" s="45"/>
      <c r="AQ138" s="45"/>
      <c r="AR138" s="45"/>
      <c r="AS138" s="45"/>
      <c r="AT138" s="45"/>
      <c r="AU138" s="45"/>
      <c r="AV138" s="45"/>
      <c r="AW138" s="45"/>
      <c r="AX138" s="45"/>
      <c r="AY138" s="45"/>
      <c r="AZ138" s="45"/>
      <c r="BA138" s="45"/>
      <c r="BB138" s="45"/>
      <c r="BC138" s="45"/>
      <c r="BD138" s="45"/>
      <c r="BE138" s="45"/>
      <c r="BF138" s="45"/>
      <c r="BG138" s="45"/>
      <c r="BH138" s="45"/>
      <c r="BI138" s="45"/>
      <c r="BJ138" s="45"/>
      <c r="BK138" s="45"/>
      <c r="BL138" s="45"/>
      <c r="BM138" s="45"/>
      <c r="BN138" s="45"/>
      <c r="BO138" s="45"/>
      <c r="BP138" s="45"/>
      <c r="BQ138" s="45"/>
      <c r="BR138" s="45"/>
      <c r="BS138" s="45"/>
      <c r="BT138" s="45"/>
    </row>
    <row r="139" spans="2:72" s="97" customFormat="1" x14ac:dyDescent="0.25">
      <c r="B139" s="98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  <c r="AL139" s="45"/>
      <c r="AM139" s="45"/>
      <c r="AN139" s="45"/>
      <c r="AO139" s="45"/>
      <c r="AP139" s="45"/>
      <c r="AQ139" s="45"/>
      <c r="AR139" s="45"/>
      <c r="AS139" s="45"/>
      <c r="AT139" s="45"/>
      <c r="AU139" s="45"/>
      <c r="AV139" s="45"/>
      <c r="AW139" s="45"/>
      <c r="AX139" s="45"/>
      <c r="AY139" s="45"/>
      <c r="AZ139" s="45"/>
      <c r="BA139" s="45"/>
      <c r="BB139" s="45"/>
      <c r="BC139" s="45"/>
      <c r="BD139" s="45"/>
      <c r="BE139" s="45"/>
      <c r="BF139" s="45"/>
      <c r="BG139" s="45"/>
      <c r="BH139" s="45"/>
      <c r="BI139" s="45"/>
      <c r="BJ139" s="45"/>
      <c r="BK139" s="45"/>
      <c r="BL139" s="45"/>
      <c r="BM139" s="45"/>
      <c r="BN139" s="45"/>
      <c r="BO139" s="45"/>
      <c r="BP139" s="45"/>
      <c r="BQ139" s="45"/>
      <c r="BR139" s="45"/>
      <c r="BS139" s="45"/>
      <c r="BT139" s="45"/>
    </row>
    <row r="140" spans="2:72" s="97" customFormat="1" x14ac:dyDescent="0.25">
      <c r="B140" s="98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  <c r="AM140" s="45"/>
      <c r="AN140" s="45"/>
      <c r="AO140" s="45"/>
      <c r="AP140" s="45"/>
      <c r="AQ140" s="45"/>
      <c r="AR140" s="45"/>
      <c r="AS140" s="45"/>
      <c r="AT140" s="45"/>
      <c r="AU140" s="45"/>
      <c r="AV140" s="45"/>
      <c r="AW140" s="45"/>
      <c r="AX140" s="45"/>
      <c r="AY140" s="45"/>
      <c r="AZ140" s="45"/>
      <c r="BA140" s="45"/>
      <c r="BB140" s="45"/>
      <c r="BC140" s="45"/>
      <c r="BD140" s="45"/>
      <c r="BE140" s="45"/>
      <c r="BF140" s="45"/>
      <c r="BG140" s="45"/>
      <c r="BH140" s="45"/>
      <c r="BI140" s="45"/>
      <c r="BJ140" s="45"/>
      <c r="BK140" s="45"/>
      <c r="BL140" s="45"/>
      <c r="BM140" s="45"/>
      <c r="BN140" s="45"/>
      <c r="BO140" s="45"/>
      <c r="BP140" s="45"/>
      <c r="BQ140" s="45"/>
      <c r="BR140" s="45"/>
      <c r="BS140" s="45"/>
      <c r="BT140" s="45"/>
    </row>
    <row r="141" spans="2:72" s="97" customFormat="1" x14ac:dyDescent="0.25">
      <c r="B141" s="98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  <c r="AL141" s="45"/>
      <c r="AM141" s="45"/>
      <c r="AN141" s="45"/>
      <c r="AO141" s="45"/>
      <c r="AP141" s="45"/>
      <c r="AQ141" s="45"/>
      <c r="AR141" s="45"/>
      <c r="AS141" s="45"/>
      <c r="AT141" s="45"/>
      <c r="AU141" s="45"/>
      <c r="AV141" s="45"/>
      <c r="AW141" s="45"/>
      <c r="AX141" s="45"/>
      <c r="AY141" s="45"/>
      <c r="AZ141" s="45"/>
      <c r="BA141" s="45"/>
      <c r="BB141" s="45"/>
      <c r="BC141" s="45"/>
      <c r="BD141" s="45"/>
      <c r="BE141" s="45"/>
      <c r="BF141" s="45"/>
      <c r="BG141" s="45"/>
      <c r="BH141" s="45"/>
      <c r="BI141" s="45"/>
      <c r="BJ141" s="45"/>
      <c r="BK141" s="45"/>
      <c r="BL141" s="45"/>
      <c r="BM141" s="45"/>
      <c r="BN141" s="45"/>
      <c r="BO141" s="45"/>
      <c r="BP141" s="45"/>
      <c r="BQ141" s="45"/>
      <c r="BR141" s="45"/>
      <c r="BS141" s="45"/>
      <c r="BT141" s="45"/>
    </row>
    <row r="142" spans="2:72" s="97" customFormat="1" x14ac:dyDescent="0.25">
      <c r="B142" s="98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  <c r="AN142" s="45"/>
      <c r="AO142" s="45"/>
      <c r="AP142" s="45"/>
      <c r="AQ142" s="45"/>
      <c r="AR142" s="45"/>
      <c r="AS142" s="45"/>
      <c r="AT142" s="45"/>
      <c r="AU142" s="45"/>
      <c r="AV142" s="45"/>
      <c r="AW142" s="45"/>
      <c r="AX142" s="45"/>
      <c r="AY142" s="45"/>
      <c r="AZ142" s="45"/>
      <c r="BA142" s="45"/>
      <c r="BB142" s="45"/>
      <c r="BC142" s="45"/>
      <c r="BD142" s="45"/>
      <c r="BE142" s="45"/>
      <c r="BF142" s="45"/>
      <c r="BG142" s="45"/>
      <c r="BH142" s="45"/>
      <c r="BI142" s="45"/>
      <c r="BJ142" s="45"/>
      <c r="BK142" s="45"/>
      <c r="BL142" s="45"/>
      <c r="BM142" s="45"/>
      <c r="BN142" s="45"/>
      <c r="BO142" s="45"/>
      <c r="BP142" s="45"/>
      <c r="BQ142" s="45"/>
      <c r="BR142" s="45"/>
      <c r="BS142" s="45"/>
      <c r="BT142" s="45"/>
    </row>
    <row r="143" spans="2:72" s="97" customFormat="1" x14ac:dyDescent="0.25">
      <c r="B143" s="98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  <c r="AM143" s="45"/>
      <c r="AN143" s="45"/>
      <c r="AO143" s="45"/>
      <c r="AP143" s="45"/>
      <c r="AQ143" s="45"/>
      <c r="AR143" s="45"/>
      <c r="AS143" s="45"/>
      <c r="AT143" s="45"/>
      <c r="AU143" s="45"/>
      <c r="AV143" s="45"/>
      <c r="AW143" s="45"/>
      <c r="AX143" s="45"/>
      <c r="AY143" s="45"/>
      <c r="AZ143" s="45"/>
      <c r="BA143" s="45"/>
      <c r="BB143" s="45"/>
      <c r="BC143" s="45"/>
      <c r="BD143" s="45"/>
      <c r="BE143" s="45"/>
      <c r="BF143" s="45"/>
      <c r="BG143" s="45"/>
      <c r="BH143" s="45"/>
      <c r="BI143" s="45"/>
      <c r="BJ143" s="45"/>
      <c r="BK143" s="45"/>
      <c r="BL143" s="45"/>
      <c r="BM143" s="45"/>
      <c r="BN143" s="45"/>
      <c r="BO143" s="45"/>
      <c r="BP143" s="45"/>
      <c r="BQ143" s="45"/>
      <c r="BR143" s="45"/>
      <c r="BS143" s="45"/>
      <c r="BT143" s="45"/>
    </row>
    <row r="144" spans="2:72" s="97" customFormat="1" x14ac:dyDescent="0.25">
      <c r="B144" s="98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  <c r="AN144" s="45"/>
      <c r="AO144" s="45"/>
      <c r="AP144" s="45"/>
      <c r="AQ144" s="45"/>
      <c r="AR144" s="45"/>
      <c r="AS144" s="45"/>
      <c r="AT144" s="45"/>
      <c r="AU144" s="45"/>
      <c r="AV144" s="45"/>
      <c r="AW144" s="45"/>
      <c r="AX144" s="45"/>
      <c r="AY144" s="45"/>
      <c r="AZ144" s="45"/>
      <c r="BA144" s="45"/>
      <c r="BB144" s="45"/>
      <c r="BC144" s="45"/>
      <c r="BD144" s="45"/>
      <c r="BE144" s="45"/>
      <c r="BF144" s="45"/>
      <c r="BG144" s="45"/>
      <c r="BH144" s="45"/>
      <c r="BI144" s="45"/>
      <c r="BJ144" s="45"/>
      <c r="BK144" s="45"/>
      <c r="BL144" s="45"/>
      <c r="BM144" s="45"/>
      <c r="BN144" s="45"/>
      <c r="BO144" s="45"/>
      <c r="BP144" s="45"/>
      <c r="BQ144" s="45"/>
      <c r="BR144" s="45"/>
      <c r="BS144" s="45"/>
      <c r="BT144" s="45"/>
    </row>
    <row r="145" spans="2:72" s="97" customFormat="1" x14ac:dyDescent="0.25">
      <c r="B145" s="98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  <c r="AM145" s="45"/>
      <c r="AN145" s="45"/>
      <c r="AO145" s="45"/>
      <c r="AP145" s="45"/>
      <c r="AQ145" s="45"/>
      <c r="AR145" s="45"/>
      <c r="AS145" s="45"/>
      <c r="AT145" s="45"/>
      <c r="AU145" s="45"/>
      <c r="AV145" s="45"/>
      <c r="AW145" s="45"/>
      <c r="AX145" s="45"/>
      <c r="AY145" s="45"/>
      <c r="AZ145" s="45"/>
      <c r="BA145" s="45"/>
      <c r="BB145" s="45"/>
      <c r="BC145" s="45"/>
      <c r="BD145" s="45"/>
      <c r="BE145" s="45"/>
      <c r="BF145" s="45"/>
      <c r="BG145" s="45"/>
      <c r="BH145" s="45"/>
      <c r="BI145" s="45"/>
      <c r="BJ145" s="45"/>
      <c r="BK145" s="45"/>
      <c r="BL145" s="45"/>
      <c r="BM145" s="45"/>
      <c r="BN145" s="45"/>
      <c r="BO145" s="45"/>
      <c r="BP145" s="45"/>
      <c r="BQ145" s="45"/>
      <c r="BR145" s="45"/>
      <c r="BS145" s="45"/>
      <c r="BT145" s="45"/>
    </row>
    <row r="146" spans="2:72" s="97" customFormat="1" x14ac:dyDescent="0.25">
      <c r="B146" s="98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  <c r="AO146" s="45"/>
      <c r="AP146" s="45"/>
      <c r="AQ146" s="45"/>
      <c r="AR146" s="45"/>
      <c r="AS146" s="45"/>
      <c r="AT146" s="45"/>
      <c r="AU146" s="45"/>
      <c r="AV146" s="45"/>
      <c r="AW146" s="45"/>
      <c r="AX146" s="45"/>
      <c r="AY146" s="45"/>
      <c r="AZ146" s="45"/>
      <c r="BA146" s="45"/>
      <c r="BB146" s="45"/>
      <c r="BC146" s="45"/>
      <c r="BD146" s="45"/>
      <c r="BE146" s="45"/>
      <c r="BF146" s="45"/>
      <c r="BG146" s="45"/>
      <c r="BH146" s="45"/>
      <c r="BI146" s="45"/>
      <c r="BJ146" s="45"/>
      <c r="BK146" s="45"/>
      <c r="BL146" s="45"/>
      <c r="BM146" s="45"/>
      <c r="BN146" s="45"/>
      <c r="BO146" s="45"/>
      <c r="BP146" s="45"/>
      <c r="BQ146" s="45"/>
      <c r="BR146" s="45"/>
      <c r="BS146" s="45"/>
      <c r="BT146" s="45"/>
    </row>
    <row r="147" spans="2:72" s="97" customFormat="1" x14ac:dyDescent="0.25">
      <c r="B147" s="98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  <c r="AO147" s="45"/>
      <c r="AP147" s="45"/>
      <c r="AQ147" s="45"/>
      <c r="AR147" s="45"/>
      <c r="AS147" s="45"/>
      <c r="AT147" s="45"/>
      <c r="AU147" s="45"/>
      <c r="AV147" s="45"/>
      <c r="AW147" s="45"/>
      <c r="AX147" s="45"/>
      <c r="AY147" s="45"/>
      <c r="AZ147" s="45"/>
      <c r="BA147" s="45"/>
      <c r="BB147" s="45"/>
      <c r="BC147" s="45"/>
      <c r="BD147" s="45"/>
      <c r="BE147" s="45"/>
      <c r="BF147" s="45"/>
      <c r="BG147" s="45"/>
      <c r="BH147" s="45"/>
      <c r="BI147" s="45"/>
      <c r="BJ147" s="45"/>
      <c r="BK147" s="45"/>
      <c r="BL147" s="45"/>
      <c r="BM147" s="45"/>
      <c r="BN147" s="45"/>
      <c r="BO147" s="45"/>
      <c r="BP147" s="45"/>
      <c r="BQ147" s="45"/>
      <c r="BR147" s="45"/>
      <c r="BS147" s="45"/>
      <c r="BT147" s="45"/>
    </row>
    <row r="148" spans="2:72" s="97" customFormat="1" x14ac:dyDescent="0.25">
      <c r="B148" s="98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5"/>
      <c r="AQ148" s="45"/>
      <c r="AR148" s="45"/>
      <c r="AS148" s="45"/>
      <c r="AT148" s="45"/>
      <c r="AU148" s="45"/>
      <c r="AV148" s="45"/>
      <c r="AW148" s="45"/>
      <c r="AX148" s="45"/>
      <c r="AY148" s="45"/>
      <c r="AZ148" s="45"/>
      <c r="BA148" s="45"/>
      <c r="BB148" s="45"/>
      <c r="BC148" s="45"/>
      <c r="BD148" s="45"/>
      <c r="BE148" s="45"/>
      <c r="BF148" s="45"/>
      <c r="BG148" s="45"/>
      <c r="BH148" s="45"/>
      <c r="BI148" s="45"/>
      <c r="BJ148" s="45"/>
      <c r="BK148" s="45"/>
      <c r="BL148" s="45"/>
      <c r="BM148" s="45"/>
      <c r="BN148" s="45"/>
      <c r="BO148" s="45"/>
      <c r="BP148" s="45"/>
      <c r="BQ148" s="45"/>
      <c r="BR148" s="45"/>
      <c r="BS148" s="45"/>
      <c r="BT148" s="45"/>
    </row>
    <row r="149" spans="2:72" s="97" customFormat="1" x14ac:dyDescent="0.25">
      <c r="B149" s="98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  <c r="AN149" s="45"/>
      <c r="AO149" s="45"/>
      <c r="AP149" s="45"/>
      <c r="AQ149" s="45"/>
      <c r="AR149" s="45"/>
      <c r="AS149" s="45"/>
      <c r="AT149" s="45"/>
      <c r="AU149" s="45"/>
      <c r="AV149" s="45"/>
      <c r="AW149" s="45"/>
      <c r="AX149" s="45"/>
      <c r="AY149" s="45"/>
      <c r="AZ149" s="45"/>
      <c r="BA149" s="45"/>
      <c r="BB149" s="45"/>
      <c r="BC149" s="45"/>
      <c r="BD149" s="45"/>
      <c r="BE149" s="45"/>
      <c r="BF149" s="45"/>
      <c r="BG149" s="45"/>
      <c r="BH149" s="45"/>
      <c r="BI149" s="45"/>
      <c r="BJ149" s="45"/>
      <c r="BK149" s="45"/>
      <c r="BL149" s="45"/>
      <c r="BM149" s="45"/>
      <c r="BN149" s="45"/>
      <c r="BO149" s="45"/>
      <c r="BP149" s="45"/>
      <c r="BQ149" s="45"/>
      <c r="BR149" s="45"/>
      <c r="BS149" s="45"/>
      <c r="BT149" s="45"/>
    </row>
    <row r="150" spans="2:72" s="97" customFormat="1" x14ac:dyDescent="0.25">
      <c r="B150" s="98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  <c r="AO150" s="45"/>
      <c r="AP150" s="45"/>
      <c r="AQ150" s="45"/>
      <c r="AR150" s="45"/>
      <c r="AS150" s="45"/>
      <c r="AT150" s="45"/>
      <c r="AU150" s="45"/>
      <c r="AV150" s="45"/>
      <c r="AW150" s="45"/>
      <c r="AX150" s="45"/>
      <c r="AY150" s="45"/>
      <c r="AZ150" s="45"/>
      <c r="BA150" s="45"/>
      <c r="BB150" s="45"/>
      <c r="BC150" s="45"/>
      <c r="BD150" s="45"/>
      <c r="BE150" s="45"/>
      <c r="BF150" s="45"/>
      <c r="BG150" s="45"/>
      <c r="BH150" s="45"/>
      <c r="BI150" s="45"/>
      <c r="BJ150" s="45"/>
      <c r="BK150" s="45"/>
      <c r="BL150" s="45"/>
      <c r="BM150" s="45"/>
      <c r="BN150" s="45"/>
      <c r="BO150" s="45"/>
      <c r="BP150" s="45"/>
      <c r="BQ150" s="45"/>
      <c r="BR150" s="45"/>
      <c r="BS150" s="45"/>
      <c r="BT150" s="45"/>
    </row>
    <row r="151" spans="2:72" s="97" customFormat="1" x14ac:dyDescent="0.25">
      <c r="B151" s="98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  <c r="AN151" s="45"/>
      <c r="AO151" s="45"/>
      <c r="AP151" s="45"/>
      <c r="AQ151" s="45"/>
      <c r="AR151" s="45"/>
      <c r="AS151" s="45"/>
      <c r="AT151" s="45"/>
      <c r="AU151" s="45"/>
      <c r="AV151" s="45"/>
      <c r="AW151" s="45"/>
      <c r="AX151" s="45"/>
      <c r="AY151" s="45"/>
      <c r="AZ151" s="45"/>
      <c r="BA151" s="45"/>
      <c r="BB151" s="45"/>
      <c r="BC151" s="45"/>
      <c r="BD151" s="45"/>
      <c r="BE151" s="45"/>
      <c r="BF151" s="45"/>
      <c r="BG151" s="45"/>
      <c r="BH151" s="45"/>
      <c r="BI151" s="45"/>
      <c r="BJ151" s="45"/>
      <c r="BK151" s="45"/>
      <c r="BL151" s="45"/>
      <c r="BM151" s="45"/>
      <c r="BN151" s="45"/>
      <c r="BO151" s="45"/>
      <c r="BP151" s="45"/>
      <c r="BQ151" s="45"/>
      <c r="BR151" s="45"/>
      <c r="BS151" s="45"/>
      <c r="BT151" s="45"/>
    </row>
    <row r="152" spans="2:72" s="97" customFormat="1" x14ac:dyDescent="0.25">
      <c r="B152" s="98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  <c r="AL152" s="45"/>
      <c r="AM152" s="45"/>
      <c r="AN152" s="45"/>
      <c r="AO152" s="45"/>
      <c r="AP152" s="45"/>
      <c r="AQ152" s="45"/>
      <c r="AR152" s="45"/>
      <c r="AS152" s="45"/>
      <c r="AT152" s="45"/>
      <c r="AU152" s="45"/>
      <c r="AV152" s="45"/>
      <c r="AW152" s="45"/>
      <c r="AX152" s="45"/>
      <c r="AY152" s="45"/>
      <c r="AZ152" s="45"/>
      <c r="BA152" s="45"/>
      <c r="BB152" s="45"/>
      <c r="BC152" s="45"/>
      <c r="BD152" s="45"/>
      <c r="BE152" s="45"/>
      <c r="BF152" s="45"/>
      <c r="BG152" s="45"/>
      <c r="BH152" s="45"/>
      <c r="BI152" s="45"/>
      <c r="BJ152" s="45"/>
      <c r="BK152" s="45"/>
      <c r="BL152" s="45"/>
      <c r="BM152" s="45"/>
      <c r="BN152" s="45"/>
      <c r="BO152" s="45"/>
      <c r="BP152" s="45"/>
      <c r="BQ152" s="45"/>
      <c r="BR152" s="45"/>
      <c r="BS152" s="45"/>
      <c r="BT152" s="45"/>
    </row>
    <row r="153" spans="2:72" s="97" customFormat="1" x14ac:dyDescent="0.25">
      <c r="B153" s="98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45"/>
      <c r="AL153" s="45"/>
      <c r="AM153" s="45"/>
      <c r="AN153" s="45"/>
      <c r="AO153" s="45"/>
      <c r="AP153" s="45"/>
      <c r="AQ153" s="45"/>
      <c r="AR153" s="45"/>
      <c r="AS153" s="45"/>
      <c r="AT153" s="45"/>
      <c r="AU153" s="45"/>
      <c r="AV153" s="45"/>
      <c r="AW153" s="45"/>
      <c r="AX153" s="45"/>
      <c r="AY153" s="45"/>
      <c r="AZ153" s="45"/>
      <c r="BA153" s="45"/>
      <c r="BB153" s="45"/>
      <c r="BC153" s="45"/>
      <c r="BD153" s="45"/>
      <c r="BE153" s="45"/>
      <c r="BF153" s="45"/>
      <c r="BG153" s="45"/>
      <c r="BH153" s="45"/>
      <c r="BI153" s="45"/>
      <c r="BJ153" s="45"/>
      <c r="BK153" s="45"/>
      <c r="BL153" s="45"/>
      <c r="BM153" s="45"/>
      <c r="BN153" s="45"/>
      <c r="BO153" s="45"/>
      <c r="BP153" s="45"/>
      <c r="BQ153" s="45"/>
      <c r="BR153" s="45"/>
      <c r="BS153" s="45"/>
      <c r="BT153" s="45"/>
    </row>
    <row r="154" spans="2:72" s="97" customFormat="1" x14ac:dyDescent="0.25">
      <c r="B154" s="98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  <c r="AM154" s="45"/>
      <c r="AN154" s="45"/>
      <c r="AO154" s="45"/>
      <c r="AP154" s="45"/>
      <c r="AQ154" s="45"/>
      <c r="AR154" s="45"/>
      <c r="AS154" s="45"/>
      <c r="AT154" s="45"/>
      <c r="AU154" s="45"/>
      <c r="AV154" s="45"/>
      <c r="AW154" s="45"/>
      <c r="AX154" s="45"/>
      <c r="AY154" s="45"/>
      <c r="AZ154" s="45"/>
      <c r="BA154" s="45"/>
      <c r="BB154" s="45"/>
      <c r="BC154" s="45"/>
      <c r="BD154" s="45"/>
      <c r="BE154" s="45"/>
      <c r="BF154" s="45"/>
      <c r="BG154" s="45"/>
      <c r="BH154" s="45"/>
      <c r="BI154" s="45"/>
      <c r="BJ154" s="45"/>
      <c r="BK154" s="45"/>
      <c r="BL154" s="45"/>
      <c r="BM154" s="45"/>
      <c r="BN154" s="45"/>
      <c r="BO154" s="45"/>
      <c r="BP154" s="45"/>
      <c r="BQ154" s="45"/>
      <c r="BR154" s="45"/>
      <c r="BS154" s="45"/>
      <c r="BT154" s="45"/>
    </row>
    <row r="155" spans="2:72" s="97" customFormat="1" x14ac:dyDescent="0.25">
      <c r="B155" s="98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  <c r="AL155" s="45"/>
      <c r="AM155" s="45"/>
      <c r="AN155" s="45"/>
      <c r="AO155" s="45"/>
      <c r="AP155" s="45"/>
      <c r="AQ155" s="45"/>
      <c r="AR155" s="45"/>
      <c r="AS155" s="45"/>
      <c r="AT155" s="45"/>
      <c r="AU155" s="45"/>
      <c r="AV155" s="45"/>
      <c r="AW155" s="45"/>
      <c r="AX155" s="45"/>
      <c r="AY155" s="45"/>
      <c r="AZ155" s="45"/>
      <c r="BA155" s="45"/>
      <c r="BB155" s="45"/>
      <c r="BC155" s="45"/>
      <c r="BD155" s="45"/>
      <c r="BE155" s="45"/>
      <c r="BF155" s="45"/>
      <c r="BG155" s="45"/>
      <c r="BH155" s="45"/>
      <c r="BI155" s="45"/>
      <c r="BJ155" s="45"/>
      <c r="BK155" s="45"/>
      <c r="BL155" s="45"/>
      <c r="BM155" s="45"/>
      <c r="BN155" s="45"/>
      <c r="BO155" s="45"/>
      <c r="BP155" s="45"/>
      <c r="BQ155" s="45"/>
      <c r="BR155" s="45"/>
      <c r="BS155" s="45"/>
      <c r="BT155" s="45"/>
    </row>
    <row r="156" spans="2:72" s="97" customFormat="1" x14ac:dyDescent="0.25">
      <c r="B156" s="98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  <c r="AM156" s="45"/>
      <c r="AN156" s="45"/>
      <c r="AO156" s="45"/>
      <c r="AP156" s="45"/>
      <c r="AQ156" s="45"/>
      <c r="AR156" s="45"/>
      <c r="AS156" s="45"/>
      <c r="AT156" s="45"/>
      <c r="AU156" s="45"/>
      <c r="AV156" s="45"/>
      <c r="AW156" s="45"/>
      <c r="AX156" s="45"/>
      <c r="AY156" s="45"/>
      <c r="AZ156" s="45"/>
      <c r="BA156" s="45"/>
      <c r="BB156" s="45"/>
      <c r="BC156" s="45"/>
      <c r="BD156" s="45"/>
      <c r="BE156" s="45"/>
      <c r="BF156" s="45"/>
      <c r="BG156" s="45"/>
      <c r="BH156" s="45"/>
      <c r="BI156" s="45"/>
      <c r="BJ156" s="45"/>
      <c r="BK156" s="45"/>
      <c r="BL156" s="45"/>
      <c r="BM156" s="45"/>
      <c r="BN156" s="45"/>
      <c r="BO156" s="45"/>
      <c r="BP156" s="45"/>
      <c r="BQ156" s="45"/>
      <c r="BR156" s="45"/>
      <c r="BS156" s="45"/>
      <c r="BT156" s="45"/>
    </row>
    <row r="157" spans="2:72" s="97" customFormat="1" x14ac:dyDescent="0.25">
      <c r="B157" s="98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5"/>
      <c r="AO157" s="45"/>
      <c r="AP157" s="45"/>
      <c r="AQ157" s="45"/>
      <c r="AR157" s="45"/>
      <c r="AS157" s="45"/>
      <c r="AT157" s="45"/>
      <c r="AU157" s="45"/>
      <c r="AV157" s="45"/>
      <c r="AW157" s="45"/>
      <c r="AX157" s="45"/>
      <c r="AY157" s="45"/>
      <c r="AZ157" s="45"/>
      <c r="BA157" s="45"/>
      <c r="BB157" s="45"/>
      <c r="BC157" s="45"/>
      <c r="BD157" s="45"/>
      <c r="BE157" s="45"/>
      <c r="BF157" s="45"/>
      <c r="BG157" s="45"/>
      <c r="BH157" s="45"/>
      <c r="BI157" s="45"/>
      <c r="BJ157" s="45"/>
      <c r="BK157" s="45"/>
      <c r="BL157" s="45"/>
      <c r="BM157" s="45"/>
      <c r="BN157" s="45"/>
      <c r="BO157" s="45"/>
      <c r="BP157" s="45"/>
      <c r="BQ157" s="45"/>
      <c r="BR157" s="45"/>
      <c r="BS157" s="45"/>
      <c r="BT157" s="45"/>
    </row>
    <row r="158" spans="2:72" s="97" customFormat="1" x14ac:dyDescent="0.25">
      <c r="B158" s="98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5"/>
      <c r="AQ158" s="45"/>
      <c r="AR158" s="45"/>
      <c r="AS158" s="45"/>
      <c r="AT158" s="45"/>
      <c r="AU158" s="45"/>
      <c r="AV158" s="45"/>
      <c r="AW158" s="45"/>
      <c r="AX158" s="45"/>
      <c r="AY158" s="45"/>
      <c r="AZ158" s="45"/>
      <c r="BA158" s="45"/>
      <c r="BB158" s="45"/>
      <c r="BC158" s="45"/>
      <c r="BD158" s="45"/>
      <c r="BE158" s="45"/>
      <c r="BF158" s="45"/>
      <c r="BG158" s="45"/>
      <c r="BH158" s="45"/>
      <c r="BI158" s="45"/>
      <c r="BJ158" s="45"/>
      <c r="BK158" s="45"/>
      <c r="BL158" s="45"/>
      <c r="BM158" s="45"/>
      <c r="BN158" s="45"/>
      <c r="BO158" s="45"/>
      <c r="BP158" s="45"/>
      <c r="BQ158" s="45"/>
      <c r="BR158" s="45"/>
      <c r="BS158" s="45"/>
      <c r="BT158" s="45"/>
    </row>
    <row r="159" spans="2:72" s="97" customFormat="1" x14ac:dyDescent="0.25">
      <c r="B159" s="98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5"/>
      <c r="AL159" s="45"/>
      <c r="AM159" s="45"/>
      <c r="AN159" s="45"/>
      <c r="AO159" s="45"/>
      <c r="AP159" s="45"/>
      <c r="AQ159" s="45"/>
      <c r="AR159" s="45"/>
      <c r="AS159" s="45"/>
      <c r="AT159" s="45"/>
      <c r="AU159" s="45"/>
      <c r="AV159" s="45"/>
      <c r="AW159" s="45"/>
      <c r="AX159" s="45"/>
      <c r="AY159" s="45"/>
      <c r="AZ159" s="45"/>
      <c r="BA159" s="45"/>
      <c r="BB159" s="45"/>
      <c r="BC159" s="45"/>
      <c r="BD159" s="45"/>
      <c r="BE159" s="45"/>
      <c r="BF159" s="45"/>
      <c r="BG159" s="45"/>
      <c r="BH159" s="45"/>
      <c r="BI159" s="45"/>
      <c r="BJ159" s="45"/>
      <c r="BK159" s="45"/>
      <c r="BL159" s="45"/>
      <c r="BM159" s="45"/>
      <c r="BN159" s="45"/>
      <c r="BO159" s="45"/>
      <c r="BP159" s="45"/>
      <c r="BQ159" s="45"/>
      <c r="BR159" s="45"/>
      <c r="BS159" s="45"/>
      <c r="BT159" s="45"/>
    </row>
    <row r="160" spans="2:72" s="97" customFormat="1" x14ac:dyDescent="0.25">
      <c r="B160" s="98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5"/>
      <c r="AL160" s="45"/>
      <c r="AM160" s="45"/>
      <c r="AN160" s="45"/>
      <c r="AO160" s="45"/>
      <c r="AP160" s="45"/>
      <c r="AQ160" s="45"/>
      <c r="AR160" s="45"/>
      <c r="AS160" s="45"/>
      <c r="AT160" s="45"/>
      <c r="AU160" s="45"/>
      <c r="AV160" s="45"/>
      <c r="AW160" s="45"/>
      <c r="AX160" s="45"/>
      <c r="AY160" s="45"/>
      <c r="AZ160" s="45"/>
      <c r="BA160" s="45"/>
      <c r="BB160" s="45"/>
      <c r="BC160" s="45"/>
      <c r="BD160" s="45"/>
      <c r="BE160" s="45"/>
      <c r="BF160" s="45"/>
      <c r="BG160" s="45"/>
      <c r="BH160" s="45"/>
      <c r="BI160" s="45"/>
      <c r="BJ160" s="45"/>
      <c r="BK160" s="45"/>
      <c r="BL160" s="45"/>
      <c r="BM160" s="45"/>
      <c r="BN160" s="45"/>
      <c r="BO160" s="45"/>
      <c r="BP160" s="45"/>
      <c r="BQ160" s="45"/>
      <c r="BR160" s="45"/>
      <c r="BS160" s="45"/>
      <c r="BT160" s="45"/>
    </row>
    <row r="161" spans="2:72" s="97" customFormat="1" x14ac:dyDescent="0.25">
      <c r="B161" s="98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5"/>
      <c r="AL161" s="45"/>
      <c r="AM161" s="45"/>
      <c r="AN161" s="45"/>
      <c r="AO161" s="45"/>
      <c r="AP161" s="45"/>
      <c r="AQ161" s="45"/>
      <c r="AR161" s="45"/>
      <c r="AS161" s="45"/>
      <c r="AT161" s="45"/>
      <c r="AU161" s="45"/>
      <c r="AV161" s="45"/>
      <c r="AW161" s="45"/>
      <c r="AX161" s="45"/>
      <c r="AY161" s="45"/>
      <c r="AZ161" s="45"/>
      <c r="BA161" s="45"/>
      <c r="BB161" s="45"/>
      <c r="BC161" s="45"/>
      <c r="BD161" s="45"/>
      <c r="BE161" s="45"/>
      <c r="BF161" s="45"/>
      <c r="BG161" s="45"/>
      <c r="BH161" s="45"/>
      <c r="BI161" s="45"/>
      <c r="BJ161" s="45"/>
      <c r="BK161" s="45"/>
      <c r="BL161" s="45"/>
      <c r="BM161" s="45"/>
      <c r="BN161" s="45"/>
      <c r="BO161" s="45"/>
      <c r="BP161" s="45"/>
      <c r="BQ161" s="45"/>
      <c r="BR161" s="45"/>
      <c r="BS161" s="45"/>
      <c r="BT161" s="45"/>
    </row>
    <row r="162" spans="2:72" s="97" customFormat="1" x14ac:dyDescent="0.25">
      <c r="B162" s="98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  <c r="AL162" s="45"/>
      <c r="AM162" s="45"/>
      <c r="AN162" s="45"/>
      <c r="AO162" s="45"/>
      <c r="AP162" s="45"/>
      <c r="AQ162" s="45"/>
      <c r="AR162" s="45"/>
      <c r="AS162" s="45"/>
      <c r="AT162" s="45"/>
      <c r="AU162" s="45"/>
      <c r="AV162" s="45"/>
      <c r="AW162" s="45"/>
      <c r="AX162" s="45"/>
      <c r="AY162" s="45"/>
      <c r="AZ162" s="45"/>
      <c r="BA162" s="45"/>
      <c r="BB162" s="45"/>
      <c r="BC162" s="45"/>
      <c r="BD162" s="45"/>
      <c r="BE162" s="45"/>
      <c r="BF162" s="45"/>
      <c r="BG162" s="45"/>
      <c r="BH162" s="45"/>
      <c r="BI162" s="45"/>
      <c r="BJ162" s="45"/>
      <c r="BK162" s="45"/>
      <c r="BL162" s="45"/>
      <c r="BM162" s="45"/>
      <c r="BN162" s="45"/>
      <c r="BO162" s="45"/>
      <c r="BP162" s="45"/>
      <c r="BQ162" s="45"/>
      <c r="BR162" s="45"/>
      <c r="BS162" s="45"/>
      <c r="BT162" s="45"/>
    </row>
    <row r="163" spans="2:72" s="97" customFormat="1" x14ac:dyDescent="0.25">
      <c r="B163" s="98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  <c r="AO163" s="45"/>
      <c r="AP163" s="45"/>
      <c r="AQ163" s="45"/>
      <c r="AR163" s="45"/>
      <c r="AS163" s="45"/>
      <c r="AT163" s="45"/>
      <c r="AU163" s="45"/>
      <c r="AV163" s="45"/>
      <c r="AW163" s="45"/>
      <c r="AX163" s="45"/>
      <c r="AY163" s="45"/>
      <c r="AZ163" s="45"/>
      <c r="BA163" s="45"/>
      <c r="BB163" s="45"/>
      <c r="BC163" s="45"/>
      <c r="BD163" s="45"/>
      <c r="BE163" s="45"/>
      <c r="BF163" s="45"/>
      <c r="BG163" s="45"/>
      <c r="BH163" s="45"/>
      <c r="BI163" s="45"/>
      <c r="BJ163" s="45"/>
      <c r="BK163" s="45"/>
      <c r="BL163" s="45"/>
      <c r="BM163" s="45"/>
      <c r="BN163" s="45"/>
      <c r="BO163" s="45"/>
      <c r="BP163" s="45"/>
      <c r="BQ163" s="45"/>
      <c r="BR163" s="45"/>
      <c r="BS163" s="45"/>
      <c r="BT163" s="45"/>
    </row>
    <row r="164" spans="2:72" s="97" customFormat="1" x14ac:dyDescent="0.25">
      <c r="B164" s="98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5"/>
      <c r="AL164" s="45"/>
      <c r="AM164" s="45"/>
      <c r="AN164" s="45"/>
      <c r="AO164" s="45"/>
      <c r="AP164" s="45"/>
      <c r="AQ164" s="45"/>
      <c r="AR164" s="45"/>
      <c r="AS164" s="45"/>
      <c r="AT164" s="45"/>
      <c r="AU164" s="45"/>
      <c r="AV164" s="45"/>
      <c r="AW164" s="45"/>
      <c r="AX164" s="45"/>
      <c r="AY164" s="45"/>
      <c r="AZ164" s="45"/>
      <c r="BA164" s="45"/>
      <c r="BB164" s="45"/>
      <c r="BC164" s="45"/>
      <c r="BD164" s="45"/>
      <c r="BE164" s="45"/>
      <c r="BF164" s="45"/>
      <c r="BG164" s="45"/>
      <c r="BH164" s="45"/>
      <c r="BI164" s="45"/>
      <c r="BJ164" s="45"/>
      <c r="BK164" s="45"/>
      <c r="BL164" s="45"/>
      <c r="BM164" s="45"/>
      <c r="BN164" s="45"/>
      <c r="BO164" s="45"/>
      <c r="BP164" s="45"/>
      <c r="BQ164" s="45"/>
      <c r="BR164" s="45"/>
      <c r="BS164" s="45"/>
      <c r="BT164" s="45"/>
    </row>
    <row r="165" spans="2:72" s="97" customFormat="1" x14ac:dyDescent="0.25">
      <c r="B165" s="98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  <c r="AP165" s="45"/>
      <c r="AQ165" s="45"/>
      <c r="AR165" s="45"/>
      <c r="AS165" s="45"/>
      <c r="AT165" s="45"/>
      <c r="AU165" s="45"/>
      <c r="AV165" s="45"/>
      <c r="AW165" s="45"/>
      <c r="AX165" s="45"/>
      <c r="AY165" s="45"/>
      <c r="AZ165" s="45"/>
      <c r="BA165" s="45"/>
      <c r="BB165" s="45"/>
      <c r="BC165" s="45"/>
      <c r="BD165" s="45"/>
      <c r="BE165" s="45"/>
      <c r="BF165" s="45"/>
      <c r="BG165" s="45"/>
      <c r="BH165" s="45"/>
      <c r="BI165" s="45"/>
      <c r="BJ165" s="45"/>
      <c r="BK165" s="45"/>
      <c r="BL165" s="45"/>
      <c r="BM165" s="45"/>
      <c r="BN165" s="45"/>
      <c r="BO165" s="45"/>
      <c r="BP165" s="45"/>
      <c r="BQ165" s="45"/>
      <c r="BR165" s="45"/>
      <c r="BS165" s="45"/>
      <c r="BT165" s="45"/>
    </row>
    <row r="166" spans="2:72" s="97" customFormat="1" x14ac:dyDescent="0.25">
      <c r="B166" s="98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5"/>
      <c r="AL166" s="45"/>
      <c r="AM166" s="45"/>
      <c r="AN166" s="45"/>
      <c r="AO166" s="45"/>
      <c r="AP166" s="45"/>
      <c r="AQ166" s="45"/>
      <c r="AR166" s="45"/>
      <c r="AS166" s="45"/>
      <c r="AT166" s="45"/>
      <c r="AU166" s="45"/>
      <c r="AV166" s="45"/>
      <c r="AW166" s="45"/>
      <c r="AX166" s="45"/>
      <c r="AY166" s="45"/>
      <c r="AZ166" s="45"/>
      <c r="BA166" s="45"/>
      <c r="BB166" s="45"/>
      <c r="BC166" s="45"/>
      <c r="BD166" s="45"/>
      <c r="BE166" s="45"/>
      <c r="BF166" s="45"/>
      <c r="BG166" s="45"/>
      <c r="BH166" s="45"/>
      <c r="BI166" s="45"/>
      <c r="BJ166" s="45"/>
      <c r="BK166" s="45"/>
      <c r="BL166" s="45"/>
      <c r="BM166" s="45"/>
      <c r="BN166" s="45"/>
      <c r="BO166" s="45"/>
      <c r="BP166" s="45"/>
      <c r="BQ166" s="45"/>
      <c r="BR166" s="45"/>
      <c r="BS166" s="45"/>
      <c r="BT166" s="45"/>
    </row>
    <row r="167" spans="2:72" s="97" customFormat="1" x14ac:dyDescent="0.25">
      <c r="B167" s="98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  <c r="AJ167" s="45"/>
      <c r="AK167" s="45"/>
      <c r="AL167" s="45"/>
      <c r="AM167" s="45"/>
      <c r="AN167" s="45"/>
      <c r="AO167" s="45"/>
      <c r="AP167" s="45"/>
      <c r="AQ167" s="45"/>
      <c r="AR167" s="45"/>
      <c r="AS167" s="45"/>
      <c r="AT167" s="45"/>
      <c r="AU167" s="45"/>
      <c r="AV167" s="45"/>
      <c r="AW167" s="45"/>
      <c r="AX167" s="45"/>
      <c r="AY167" s="45"/>
      <c r="AZ167" s="45"/>
      <c r="BA167" s="45"/>
      <c r="BB167" s="45"/>
      <c r="BC167" s="45"/>
      <c r="BD167" s="45"/>
      <c r="BE167" s="45"/>
      <c r="BF167" s="45"/>
      <c r="BG167" s="45"/>
      <c r="BH167" s="45"/>
      <c r="BI167" s="45"/>
      <c r="BJ167" s="45"/>
      <c r="BK167" s="45"/>
      <c r="BL167" s="45"/>
      <c r="BM167" s="45"/>
      <c r="BN167" s="45"/>
      <c r="BO167" s="45"/>
      <c r="BP167" s="45"/>
      <c r="BQ167" s="45"/>
      <c r="BR167" s="45"/>
      <c r="BS167" s="45"/>
      <c r="BT167" s="45"/>
    </row>
    <row r="168" spans="2:72" s="97" customFormat="1" x14ac:dyDescent="0.25">
      <c r="B168" s="98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45"/>
      <c r="AL168" s="45"/>
      <c r="AM168" s="45"/>
      <c r="AN168" s="45"/>
      <c r="AO168" s="45"/>
      <c r="AP168" s="45"/>
      <c r="AQ168" s="45"/>
      <c r="AR168" s="45"/>
      <c r="AS168" s="45"/>
      <c r="AT168" s="45"/>
      <c r="AU168" s="45"/>
      <c r="AV168" s="45"/>
      <c r="AW168" s="45"/>
      <c r="AX168" s="45"/>
      <c r="AY168" s="45"/>
      <c r="AZ168" s="45"/>
      <c r="BA168" s="45"/>
      <c r="BB168" s="45"/>
      <c r="BC168" s="45"/>
      <c r="BD168" s="45"/>
      <c r="BE168" s="45"/>
      <c r="BF168" s="45"/>
      <c r="BG168" s="45"/>
      <c r="BH168" s="45"/>
      <c r="BI168" s="45"/>
      <c r="BJ168" s="45"/>
      <c r="BK168" s="45"/>
      <c r="BL168" s="45"/>
      <c r="BM168" s="45"/>
      <c r="BN168" s="45"/>
      <c r="BO168" s="45"/>
      <c r="BP168" s="45"/>
      <c r="BQ168" s="45"/>
      <c r="BR168" s="45"/>
      <c r="BS168" s="45"/>
      <c r="BT168" s="45"/>
    </row>
    <row r="169" spans="2:72" s="97" customFormat="1" x14ac:dyDescent="0.25">
      <c r="B169" s="98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45"/>
      <c r="AL169" s="45"/>
      <c r="AM169" s="45"/>
      <c r="AN169" s="45"/>
      <c r="AO169" s="45"/>
      <c r="AP169" s="45"/>
      <c r="AQ169" s="45"/>
      <c r="AR169" s="45"/>
      <c r="AS169" s="45"/>
      <c r="AT169" s="45"/>
      <c r="AU169" s="45"/>
      <c r="AV169" s="45"/>
      <c r="AW169" s="45"/>
      <c r="AX169" s="45"/>
      <c r="AY169" s="45"/>
      <c r="AZ169" s="45"/>
      <c r="BA169" s="45"/>
      <c r="BB169" s="45"/>
      <c r="BC169" s="45"/>
      <c r="BD169" s="45"/>
      <c r="BE169" s="45"/>
      <c r="BF169" s="45"/>
      <c r="BG169" s="45"/>
      <c r="BH169" s="45"/>
      <c r="BI169" s="45"/>
      <c r="BJ169" s="45"/>
      <c r="BK169" s="45"/>
      <c r="BL169" s="45"/>
      <c r="BM169" s="45"/>
      <c r="BN169" s="45"/>
      <c r="BO169" s="45"/>
      <c r="BP169" s="45"/>
      <c r="BQ169" s="45"/>
      <c r="BR169" s="45"/>
      <c r="BS169" s="45"/>
      <c r="BT169" s="45"/>
    </row>
    <row r="170" spans="2:72" s="97" customFormat="1" x14ac:dyDescent="0.25">
      <c r="B170" s="98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45"/>
      <c r="AL170" s="45"/>
      <c r="AM170" s="45"/>
      <c r="AN170" s="45"/>
      <c r="AO170" s="45"/>
      <c r="AP170" s="45"/>
      <c r="AQ170" s="45"/>
      <c r="AR170" s="45"/>
      <c r="AS170" s="45"/>
      <c r="AT170" s="45"/>
      <c r="AU170" s="45"/>
      <c r="AV170" s="45"/>
      <c r="AW170" s="45"/>
      <c r="AX170" s="45"/>
      <c r="AY170" s="45"/>
      <c r="AZ170" s="45"/>
      <c r="BA170" s="45"/>
      <c r="BB170" s="45"/>
      <c r="BC170" s="45"/>
      <c r="BD170" s="45"/>
      <c r="BE170" s="45"/>
      <c r="BF170" s="45"/>
      <c r="BG170" s="45"/>
      <c r="BH170" s="45"/>
      <c r="BI170" s="45"/>
      <c r="BJ170" s="45"/>
      <c r="BK170" s="45"/>
      <c r="BL170" s="45"/>
      <c r="BM170" s="45"/>
      <c r="BN170" s="45"/>
      <c r="BO170" s="45"/>
      <c r="BP170" s="45"/>
      <c r="BQ170" s="45"/>
      <c r="BR170" s="45"/>
      <c r="BS170" s="45"/>
      <c r="BT170" s="45"/>
    </row>
    <row r="171" spans="2:72" s="97" customFormat="1" x14ac:dyDescent="0.25">
      <c r="B171" s="98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45"/>
      <c r="AL171" s="45"/>
      <c r="AM171" s="45"/>
      <c r="AN171" s="45"/>
      <c r="AO171" s="45"/>
      <c r="AP171" s="45"/>
      <c r="AQ171" s="45"/>
      <c r="AR171" s="45"/>
      <c r="AS171" s="45"/>
      <c r="AT171" s="45"/>
      <c r="AU171" s="45"/>
      <c r="AV171" s="45"/>
      <c r="AW171" s="45"/>
      <c r="AX171" s="45"/>
      <c r="AY171" s="45"/>
      <c r="AZ171" s="45"/>
      <c r="BA171" s="45"/>
      <c r="BB171" s="45"/>
      <c r="BC171" s="45"/>
      <c r="BD171" s="45"/>
      <c r="BE171" s="45"/>
      <c r="BF171" s="45"/>
      <c r="BG171" s="45"/>
      <c r="BH171" s="45"/>
      <c r="BI171" s="45"/>
      <c r="BJ171" s="45"/>
      <c r="BK171" s="45"/>
      <c r="BL171" s="45"/>
      <c r="BM171" s="45"/>
      <c r="BN171" s="45"/>
      <c r="BO171" s="45"/>
      <c r="BP171" s="45"/>
      <c r="BQ171" s="45"/>
      <c r="BR171" s="45"/>
      <c r="BS171" s="45"/>
      <c r="BT171" s="45"/>
    </row>
    <row r="172" spans="2:72" s="97" customFormat="1" x14ac:dyDescent="0.25">
      <c r="B172" s="98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45"/>
      <c r="AL172" s="45"/>
      <c r="AM172" s="45"/>
      <c r="AN172" s="45"/>
      <c r="AO172" s="45"/>
      <c r="AP172" s="45"/>
      <c r="AQ172" s="45"/>
      <c r="AR172" s="45"/>
      <c r="AS172" s="45"/>
      <c r="AT172" s="45"/>
      <c r="AU172" s="45"/>
      <c r="AV172" s="45"/>
      <c r="AW172" s="45"/>
      <c r="AX172" s="45"/>
      <c r="AY172" s="45"/>
      <c r="AZ172" s="45"/>
      <c r="BA172" s="45"/>
      <c r="BB172" s="45"/>
      <c r="BC172" s="45"/>
      <c r="BD172" s="45"/>
      <c r="BE172" s="45"/>
      <c r="BF172" s="45"/>
      <c r="BG172" s="45"/>
      <c r="BH172" s="45"/>
      <c r="BI172" s="45"/>
      <c r="BJ172" s="45"/>
      <c r="BK172" s="45"/>
      <c r="BL172" s="45"/>
      <c r="BM172" s="45"/>
      <c r="BN172" s="45"/>
      <c r="BO172" s="45"/>
      <c r="BP172" s="45"/>
      <c r="BQ172" s="45"/>
      <c r="BR172" s="45"/>
      <c r="BS172" s="45"/>
      <c r="BT172" s="45"/>
    </row>
    <row r="173" spans="2:72" s="97" customFormat="1" x14ac:dyDescent="0.25">
      <c r="B173" s="98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5"/>
      <c r="AL173" s="45"/>
      <c r="AM173" s="45"/>
      <c r="AN173" s="45"/>
      <c r="AO173" s="45"/>
      <c r="AP173" s="45"/>
      <c r="AQ173" s="45"/>
      <c r="AR173" s="45"/>
      <c r="AS173" s="45"/>
      <c r="AT173" s="45"/>
      <c r="AU173" s="45"/>
      <c r="AV173" s="45"/>
      <c r="AW173" s="45"/>
      <c r="AX173" s="45"/>
      <c r="AY173" s="45"/>
      <c r="AZ173" s="45"/>
      <c r="BA173" s="45"/>
      <c r="BB173" s="45"/>
      <c r="BC173" s="45"/>
      <c r="BD173" s="45"/>
      <c r="BE173" s="45"/>
      <c r="BF173" s="45"/>
      <c r="BG173" s="45"/>
      <c r="BH173" s="45"/>
      <c r="BI173" s="45"/>
      <c r="BJ173" s="45"/>
      <c r="BK173" s="45"/>
      <c r="BL173" s="45"/>
      <c r="BM173" s="45"/>
      <c r="BN173" s="45"/>
      <c r="BO173" s="45"/>
      <c r="BP173" s="45"/>
      <c r="BQ173" s="45"/>
      <c r="BR173" s="45"/>
      <c r="BS173" s="45"/>
      <c r="BT173" s="45"/>
    </row>
    <row r="174" spans="2:72" s="97" customFormat="1" x14ac:dyDescent="0.25">
      <c r="B174" s="98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45"/>
      <c r="AL174" s="45"/>
      <c r="AM174" s="45"/>
      <c r="AN174" s="45"/>
      <c r="AO174" s="45"/>
      <c r="AP174" s="45"/>
      <c r="AQ174" s="45"/>
      <c r="AR174" s="45"/>
      <c r="AS174" s="45"/>
      <c r="AT174" s="45"/>
      <c r="AU174" s="45"/>
      <c r="AV174" s="45"/>
      <c r="AW174" s="45"/>
      <c r="AX174" s="45"/>
      <c r="AY174" s="45"/>
      <c r="AZ174" s="45"/>
      <c r="BA174" s="45"/>
      <c r="BB174" s="45"/>
      <c r="BC174" s="45"/>
      <c r="BD174" s="45"/>
      <c r="BE174" s="45"/>
      <c r="BF174" s="45"/>
      <c r="BG174" s="45"/>
      <c r="BH174" s="45"/>
      <c r="BI174" s="45"/>
      <c r="BJ174" s="45"/>
      <c r="BK174" s="45"/>
      <c r="BL174" s="45"/>
      <c r="BM174" s="45"/>
      <c r="BN174" s="45"/>
      <c r="BO174" s="45"/>
      <c r="BP174" s="45"/>
      <c r="BQ174" s="45"/>
      <c r="BR174" s="45"/>
      <c r="BS174" s="45"/>
      <c r="BT174" s="45"/>
    </row>
    <row r="175" spans="2:72" s="97" customFormat="1" x14ac:dyDescent="0.25">
      <c r="B175" s="98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  <c r="AL175" s="45"/>
      <c r="AM175" s="45"/>
      <c r="AN175" s="45"/>
      <c r="AO175" s="45"/>
      <c r="AP175" s="45"/>
      <c r="AQ175" s="45"/>
      <c r="AR175" s="45"/>
      <c r="AS175" s="45"/>
      <c r="AT175" s="45"/>
      <c r="AU175" s="45"/>
      <c r="AV175" s="45"/>
      <c r="AW175" s="45"/>
      <c r="AX175" s="45"/>
      <c r="AY175" s="45"/>
      <c r="AZ175" s="45"/>
      <c r="BA175" s="45"/>
      <c r="BB175" s="45"/>
      <c r="BC175" s="45"/>
      <c r="BD175" s="45"/>
      <c r="BE175" s="45"/>
      <c r="BF175" s="45"/>
      <c r="BG175" s="45"/>
      <c r="BH175" s="45"/>
      <c r="BI175" s="45"/>
      <c r="BJ175" s="45"/>
      <c r="BK175" s="45"/>
      <c r="BL175" s="45"/>
      <c r="BM175" s="45"/>
      <c r="BN175" s="45"/>
      <c r="BO175" s="45"/>
      <c r="BP175" s="45"/>
      <c r="BQ175" s="45"/>
      <c r="BR175" s="45"/>
      <c r="BS175" s="45"/>
      <c r="BT175" s="45"/>
    </row>
    <row r="176" spans="2:72" s="97" customFormat="1" x14ac:dyDescent="0.25">
      <c r="B176" s="98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  <c r="AL176" s="45"/>
      <c r="AM176" s="45"/>
      <c r="AN176" s="45"/>
      <c r="AO176" s="45"/>
      <c r="AP176" s="45"/>
      <c r="AQ176" s="45"/>
      <c r="AR176" s="45"/>
      <c r="AS176" s="45"/>
      <c r="AT176" s="45"/>
      <c r="AU176" s="45"/>
      <c r="AV176" s="45"/>
      <c r="AW176" s="45"/>
      <c r="AX176" s="45"/>
      <c r="AY176" s="45"/>
      <c r="AZ176" s="45"/>
      <c r="BA176" s="45"/>
      <c r="BB176" s="45"/>
      <c r="BC176" s="45"/>
      <c r="BD176" s="45"/>
      <c r="BE176" s="45"/>
      <c r="BF176" s="45"/>
      <c r="BG176" s="45"/>
      <c r="BH176" s="45"/>
      <c r="BI176" s="45"/>
      <c r="BJ176" s="45"/>
      <c r="BK176" s="45"/>
      <c r="BL176" s="45"/>
      <c r="BM176" s="45"/>
      <c r="BN176" s="45"/>
      <c r="BO176" s="45"/>
      <c r="BP176" s="45"/>
      <c r="BQ176" s="45"/>
      <c r="BR176" s="45"/>
      <c r="BS176" s="45"/>
      <c r="BT176" s="45"/>
    </row>
    <row r="177" spans="2:72" s="97" customFormat="1" x14ac:dyDescent="0.25">
      <c r="B177" s="98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  <c r="AK177" s="45"/>
      <c r="AL177" s="45"/>
      <c r="AM177" s="45"/>
      <c r="AN177" s="45"/>
      <c r="AO177" s="45"/>
      <c r="AP177" s="45"/>
      <c r="AQ177" s="45"/>
      <c r="AR177" s="45"/>
      <c r="AS177" s="45"/>
      <c r="AT177" s="45"/>
      <c r="AU177" s="45"/>
      <c r="AV177" s="45"/>
      <c r="AW177" s="45"/>
      <c r="AX177" s="45"/>
      <c r="AY177" s="45"/>
      <c r="AZ177" s="45"/>
      <c r="BA177" s="45"/>
      <c r="BB177" s="45"/>
      <c r="BC177" s="45"/>
      <c r="BD177" s="45"/>
      <c r="BE177" s="45"/>
      <c r="BF177" s="45"/>
      <c r="BG177" s="45"/>
      <c r="BH177" s="45"/>
      <c r="BI177" s="45"/>
      <c r="BJ177" s="45"/>
      <c r="BK177" s="45"/>
      <c r="BL177" s="45"/>
      <c r="BM177" s="45"/>
      <c r="BN177" s="45"/>
      <c r="BO177" s="45"/>
      <c r="BP177" s="45"/>
      <c r="BQ177" s="45"/>
      <c r="BR177" s="45"/>
      <c r="BS177" s="45"/>
      <c r="BT177" s="45"/>
    </row>
    <row r="178" spans="2:72" s="97" customFormat="1" x14ac:dyDescent="0.25">
      <c r="B178" s="98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  <c r="AL178" s="45"/>
      <c r="AM178" s="45"/>
      <c r="AN178" s="45"/>
      <c r="AO178" s="45"/>
      <c r="AP178" s="45"/>
      <c r="AQ178" s="45"/>
      <c r="AR178" s="45"/>
      <c r="AS178" s="45"/>
      <c r="AT178" s="45"/>
      <c r="AU178" s="45"/>
      <c r="AV178" s="45"/>
      <c r="AW178" s="45"/>
      <c r="AX178" s="45"/>
      <c r="AY178" s="45"/>
      <c r="AZ178" s="45"/>
      <c r="BA178" s="45"/>
      <c r="BB178" s="45"/>
      <c r="BC178" s="45"/>
      <c r="BD178" s="45"/>
      <c r="BE178" s="45"/>
      <c r="BF178" s="45"/>
      <c r="BG178" s="45"/>
      <c r="BH178" s="45"/>
      <c r="BI178" s="45"/>
      <c r="BJ178" s="45"/>
      <c r="BK178" s="45"/>
      <c r="BL178" s="45"/>
      <c r="BM178" s="45"/>
      <c r="BN178" s="45"/>
      <c r="BO178" s="45"/>
      <c r="BP178" s="45"/>
      <c r="BQ178" s="45"/>
      <c r="BR178" s="45"/>
      <c r="BS178" s="45"/>
      <c r="BT178" s="45"/>
    </row>
    <row r="179" spans="2:72" s="97" customFormat="1" x14ac:dyDescent="0.25">
      <c r="B179" s="98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  <c r="AJ179" s="45"/>
      <c r="AK179" s="45"/>
      <c r="AL179" s="45"/>
      <c r="AM179" s="45"/>
      <c r="AN179" s="45"/>
      <c r="AO179" s="45"/>
      <c r="AP179" s="45"/>
      <c r="AQ179" s="45"/>
      <c r="AR179" s="45"/>
      <c r="AS179" s="45"/>
      <c r="AT179" s="45"/>
      <c r="AU179" s="45"/>
      <c r="AV179" s="45"/>
      <c r="AW179" s="45"/>
      <c r="AX179" s="45"/>
      <c r="AY179" s="45"/>
      <c r="AZ179" s="45"/>
      <c r="BA179" s="45"/>
      <c r="BB179" s="45"/>
      <c r="BC179" s="45"/>
      <c r="BD179" s="45"/>
      <c r="BE179" s="45"/>
      <c r="BF179" s="45"/>
      <c r="BG179" s="45"/>
      <c r="BH179" s="45"/>
      <c r="BI179" s="45"/>
      <c r="BJ179" s="45"/>
      <c r="BK179" s="45"/>
      <c r="BL179" s="45"/>
      <c r="BM179" s="45"/>
      <c r="BN179" s="45"/>
      <c r="BO179" s="45"/>
      <c r="BP179" s="45"/>
      <c r="BQ179" s="45"/>
      <c r="BR179" s="45"/>
      <c r="BS179" s="45"/>
      <c r="BT179" s="45"/>
    </row>
    <row r="180" spans="2:72" s="97" customFormat="1" x14ac:dyDescent="0.25">
      <c r="B180" s="98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  <c r="AL180" s="45"/>
      <c r="AM180" s="45"/>
      <c r="AN180" s="45"/>
      <c r="AO180" s="45"/>
      <c r="AP180" s="45"/>
      <c r="AQ180" s="45"/>
      <c r="AR180" s="45"/>
      <c r="AS180" s="45"/>
      <c r="AT180" s="45"/>
      <c r="AU180" s="45"/>
      <c r="AV180" s="45"/>
      <c r="AW180" s="45"/>
      <c r="AX180" s="45"/>
      <c r="AY180" s="45"/>
      <c r="AZ180" s="45"/>
      <c r="BA180" s="45"/>
      <c r="BB180" s="45"/>
      <c r="BC180" s="45"/>
      <c r="BD180" s="45"/>
      <c r="BE180" s="45"/>
      <c r="BF180" s="45"/>
      <c r="BG180" s="45"/>
      <c r="BH180" s="45"/>
      <c r="BI180" s="45"/>
      <c r="BJ180" s="45"/>
      <c r="BK180" s="45"/>
      <c r="BL180" s="45"/>
      <c r="BM180" s="45"/>
      <c r="BN180" s="45"/>
      <c r="BO180" s="45"/>
      <c r="BP180" s="45"/>
      <c r="BQ180" s="45"/>
      <c r="BR180" s="45"/>
      <c r="BS180" s="45"/>
      <c r="BT180" s="45"/>
    </row>
    <row r="181" spans="2:72" s="97" customFormat="1" x14ac:dyDescent="0.25">
      <c r="B181" s="98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5"/>
      <c r="AO181" s="45"/>
      <c r="AP181" s="45"/>
      <c r="AQ181" s="45"/>
      <c r="AR181" s="45"/>
      <c r="AS181" s="45"/>
      <c r="AT181" s="45"/>
      <c r="AU181" s="45"/>
      <c r="AV181" s="45"/>
      <c r="AW181" s="45"/>
      <c r="AX181" s="45"/>
      <c r="AY181" s="45"/>
      <c r="AZ181" s="45"/>
      <c r="BA181" s="45"/>
      <c r="BB181" s="45"/>
      <c r="BC181" s="45"/>
      <c r="BD181" s="45"/>
      <c r="BE181" s="45"/>
      <c r="BF181" s="45"/>
      <c r="BG181" s="45"/>
      <c r="BH181" s="45"/>
      <c r="BI181" s="45"/>
      <c r="BJ181" s="45"/>
      <c r="BK181" s="45"/>
      <c r="BL181" s="45"/>
      <c r="BM181" s="45"/>
      <c r="BN181" s="45"/>
      <c r="BO181" s="45"/>
      <c r="BP181" s="45"/>
      <c r="BQ181" s="45"/>
      <c r="BR181" s="45"/>
      <c r="BS181" s="45"/>
      <c r="BT181" s="45"/>
    </row>
    <row r="182" spans="2:72" s="97" customFormat="1" x14ac:dyDescent="0.25">
      <c r="B182" s="98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45"/>
      <c r="AB182" s="45"/>
      <c r="AC182" s="45"/>
      <c r="AD182" s="45"/>
      <c r="AE182" s="45"/>
      <c r="AF182" s="45"/>
      <c r="AG182" s="45"/>
      <c r="AH182" s="45"/>
      <c r="AI182" s="45"/>
      <c r="AJ182" s="45"/>
      <c r="AK182" s="45"/>
      <c r="AL182" s="45"/>
      <c r="AM182" s="45"/>
      <c r="AN182" s="45"/>
      <c r="AO182" s="45"/>
      <c r="AP182" s="45"/>
      <c r="AQ182" s="45"/>
      <c r="AR182" s="45"/>
      <c r="AS182" s="45"/>
      <c r="AT182" s="45"/>
      <c r="AU182" s="45"/>
      <c r="AV182" s="45"/>
      <c r="AW182" s="45"/>
      <c r="AX182" s="45"/>
      <c r="AY182" s="45"/>
      <c r="AZ182" s="45"/>
      <c r="BA182" s="45"/>
      <c r="BB182" s="45"/>
      <c r="BC182" s="45"/>
      <c r="BD182" s="45"/>
      <c r="BE182" s="45"/>
      <c r="BF182" s="45"/>
      <c r="BG182" s="45"/>
      <c r="BH182" s="45"/>
      <c r="BI182" s="45"/>
      <c r="BJ182" s="45"/>
      <c r="BK182" s="45"/>
      <c r="BL182" s="45"/>
      <c r="BM182" s="45"/>
      <c r="BN182" s="45"/>
      <c r="BO182" s="45"/>
      <c r="BP182" s="45"/>
      <c r="BQ182" s="45"/>
      <c r="BR182" s="45"/>
      <c r="BS182" s="45"/>
      <c r="BT182" s="45"/>
    </row>
    <row r="183" spans="2:72" s="97" customFormat="1" x14ac:dyDescent="0.25">
      <c r="B183" s="98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/>
      <c r="AB183" s="45"/>
      <c r="AC183" s="45"/>
      <c r="AD183" s="45"/>
      <c r="AE183" s="45"/>
      <c r="AF183" s="45"/>
      <c r="AG183" s="45"/>
      <c r="AH183" s="45"/>
      <c r="AI183" s="45"/>
      <c r="AJ183" s="45"/>
      <c r="AK183" s="45"/>
      <c r="AL183" s="45"/>
      <c r="AM183" s="45"/>
      <c r="AN183" s="45"/>
      <c r="AO183" s="45"/>
      <c r="AP183" s="45"/>
      <c r="AQ183" s="45"/>
      <c r="AR183" s="45"/>
      <c r="AS183" s="45"/>
      <c r="AT183" s="45"/>
      <c r="AU183" s="45"/>
      <c r="AV183" s="45"/>
      <c r="AW183" s="45"/>
      <c r="AX183" s="45"/>
      <c r="AY183" s="45"/>
      <c r="AZ183" s="45"/>
      <c r="BA183" s="45"/>
      <c r="BB183" s="45"/>
      <c r="BC183" s="45"/>
      <c r="BD183" s="45"/>
      <c r="BE183" s="45"/>
      <c r="BF183" s="45"/>
      <c r="BG183" s="45"/>
      <c r="BH183" s="45"/>
      <c r="BI183" s="45"/>
      <c r="BJ183" s="45"/>
      <c r="BK183" s="45"/>
      <c r="BL183" s="45"/>
      <c r="BM183" s="45"/>
      <c r="BN183" s="45"/>
      <c r="BO183" s="45"/>
      <c r="BP183" s="45"/>
      <c r="BQ183" s="45"/>
      <c r="BR183" s="45"/>
      <c r="BS183" s="45"/>
      <c r="BT183" s="45"/>
    </row>
    <row r="184" spans="2:72" s="97" customFormat="1" x14ac:dyDescent="0.25">
      <c r="B184" s="98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  <c r="AK184" s="45"/>
      <c r="AL184" s="45"/>
      <c r="AM184" s="45"/>
      <c r="AN184" s="45"/>
      <c r="AO184" s="45"/>
      <c r="AP184" s="45"/>
      <c r="AQ184" s="45"/>
      <c r="AR184" s="45"/>
      <c r="AS184" s="45"/>
      <c r="AT184" s="45"/>
      <c r="AU184" s="45"/>
      <c r="AV184" s="45"/>
      <c r="AW184" s="45"/>
      <c r="AX184" s="45"/>
      <c r="AY184" s="45"/>
      <c r="AZ184" s="45"/>
      <c r="BA184" s="45"/>
      <c r="BB184" s="45"/>
      <c r="BC184" s="45"/>
      <c r="BD184" s="45"/>
      <c r="BE184" s="45"/>
      <c r="BF184" s="45"/>
      <c r="BG184" s="45"/>
      <c r="BH184" s="45"/>
      <c r="BI184" s="45"/>
      <c r="BJ184" s="45"/>
      <c r="BK184" s="45"/>
      <c r="BL184" s="45"/>
      <c r="BM184" s="45"/>
      <c r="BN184" s="45"/>
      <c r="BO184" s="45"/>
      <c r="BP184" s="45"/>
      <c r="BQ184" s="45"/>
      <c r="BR184" s="45"/>
      <c r="BS184" s="45"/>
      <c r="BT184" s="45"/>
    </row>
    <row r="185" spans="2:72" s="97" customFormat="1" x14ac:dyDescent="0.25">
      <c r="B185" s="98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  <c r="AC185" s="45"/>
      <c r="AD185" s="45"/>
      <c r="AE185" s="45"/>
      <c r="AF185" s="45"/>
      <c r="AG185" s="45"/>
      <c r="AH185" s="45"/>
      <c r="AI185" s="45"/>
      <c r="AJ185" s="45"/>
      <c r="AK185" s="45"/>
      <c r="AL185" s="45"/>
      <c r="AM185" s="45"/>
      <c r="AN185" s="45"/>
      <c r="AO185" s="45"/>
      <c r="AP185" s="45"/>
      <c r="AQ185" s="45"/>
      <c r="AR185" s="45"/>
      <c r="AS185" s="45"/>
      <c r="AT185" s="45"/>
      <c r="AU185" s="45"/>
      <c r="AV185" s="45"/>
      <c r="AW185" s="45"/>
      <c r="AX185" s="45"/>
      <c r="AY185" s="45"/>
      <c r="AZ185" s="45"/>
      <c r="BA185" s="45"/>
      <c r="BB185" s="45"/>
      <c r="BC185" s="45"/>
      <c r="BD185" s="45"/>
      <c r="BE185" s="45"/>
      <c r="BF185" s="45"/>
      <c r="BG185" s="45"/>
      <c r="BH185" s="45"/>
      <c r="BI185" s="45"/>
      <c r="BJ185" s="45"/>
      <c r="BK185" s="45"/>
      <c r="BL185" s="45"/>
      <c r="BM185" s="45"/>
      <c r="BN185" s="45"/>
      <c r="BO185" s="45"/>
      <c r="BP185" s="45"/>
      <c r="BQ185" s="45"/>
      <c r="BR185" s="45"/>
      <c r="BS185" s="45"/>
      <c r="BT185" s="45"/>
    </row>
    <row r="186" spans="2:72" s="97" customFormat="1" x14ac:dyDescent="0.25">
      <c r="B186" s="98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  <c r="AC186" s="45"/>
      <c r="AD186" s="45"/>
      <c r="AE186" s="45"/>
      <c r="AF186" s="45"/>
      <c r="AG186" s="45"/>
      <c r="AH186" s="45"/>
      <c r="AI186" s="45"/>
      <c r="AJ186" s="45"/>
      <c r="AK186" s="45"/>
      <c r="AL186" s="45"/>
      <c r="AM186" s="45"/>
      <c r="AN186" s="45"/>
      <c r="AO186" s="45"/>
      <c r="AP186" s="45"/>
      <c r="AQ186" s="45"/>
      <c r="AR186" s="45"/>
      <c r="AS186" s="45"/>
      <c r="AT186" s="45"/>
      <c r="AU186" s="45"/>
      <c r="AV186" s="45"/>
      <c r="AW186" s="45"/>
      <c r="AX186" s="45"/>
      <c r="AY186" s="45"/>
      <c r="AZ186" s="45"/>
      <c r="BA186" s="45"/>
      <c r="BB186" s="45"/>
      <c r="BC186" s="45"/>
      <c r="BD186" s="45"/>
      <c r="BE186" s="45"/>
      <c r="BF186" s="45"/>
      <c r="BG186" s="45"/>
      <c r="BH186" s="45"/>
      <c r="BI186" s="45"/>
      <c r="BJ186" s="45"/>
      <c r="BK186" s="45"/>
      <c r="BL186" s="45"/>
      <c r="BM186" s="45"/>
      <c r="BN186" s="45"/>
      <c r="BO186" s="45"/>
      <c r="BP186" s="45"/>
      <c r="BQ186" s="45"/>
      <c r="BR186" s="45"/>
      <c r="BS186" s="45"/>
      <c r="BT186" s="45"/>
    </row>
    <row r="187" spans="2:72" s="97" customFormat="1" x14ac:dyDescent="0.25">
      <c r="B187" s="98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  <c r="AJ187" s="45"/>
      <c r="AK187" s="45"/>
      <c r="AL187" s="45"/>
      <c r="AM187" s="45"/>
      <c r="AN187" s="45"/>
      <c r="AO187" s="45"/>
      <c r="AP187" s="45"/>
      <c r="AQ187" s="45"/>
      <c r="AR187" s="45"/>
      <c r="AS187" s="45"/>
      <c r="AT187" s="45"/>
      <c r="AU187" s="45"/>
      <c r="AV187" s="45"/>
      <c r="AW187" s="45"/>
      <c r="AX187" s="45"/>
      <c r="AY187" s="45"/>
      <c r="AZ187" s="45"/>
      <c r="BA187" s="45"/>
      <c r="BB187" s="45"/>
      <c r="BC187" s="45"/>
      <c r="BD187" s="45"/>
      <c r="BE187" s="45"/>
      <c r="BF187" s="45"/>
      <c r="BG187" s="45"/>
      <c r="BH187" s="45"/>
      <c r="BI187" s="45"/>
      <c r="BJ187" s="45"/>
      <c r="BK187" s="45"/>
      <c r="BL187" s="45"/>
      <c r="BM187" s="45"/>
      <c r="BN187" s="45"/>
      <c r="BO187" s="45"/>
      <c r="BP187" s="45"/>
      <c r="BQ187" s="45"/>
      <c r="BR187" s="45"/>
      <c r="BS187" s="45"/>
      <c r="BT187" s="45"/>
    </row>
    <row r="188" spans="2:72" s="97" customFormat="1" x14ac:dyDescent="0.25">
      <c r="B188" s="98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  <c r="AC188" s="45"/>
      <c r="AD188" s="45"/>
      <c r="AE188" s="45"/>
      <c r="AF188" s="45"/>
      <c r="AG188" s="45"/>
      <c r="AH188" s="45"/>
      <c r="AI188" s="45"/>
      <c r="AJ188" s="45"/>
      <c r="AK188" s="45"/>
      <c r="AL188" s="45"/>
      <c r="AM188" s="45"/>
      <c r="AN188" s="45"/>
      <c r="AO188" s="45"/>
      <c r="AP188" s="45"/>
      <c r="AQ188" s="45"/>
      <c r="AR188" s="45"/>
      <c r="AS188" s="45"/>
      <c r="AT188" s="45"/>
      <c r="AU188" s="45"/>
      <c r="AV188" s="45"/>
      <c r="AW188" s="45"/>
      <c r="AX188" s="45"/>
      <c r="AY188" s="45"/>
      <c r="AZ188" s="45"/>
      <c r="BA188" s="45"/>
      <c r="BB188" s="45"/>
      <c r="BC188" s="45"/>
      <c r="BD188" s="45"/>
      <c r="BE188" s="45"/>
      <c r="BF188" s="45"/>
      <c r="BG188" s="45"/>
      <c r="BH188" s="45"/>
      <c r="BI188" s="45"/>
      <c r="BJ188" s="45"/>
      <c r="BK188" s="45"/>
      <c r="BL188" s="45"/>
      <c r="BM188" s="45"/>
      <c r="BN188" s="45"/>
      <c r="BO188" s="45"/>
      <c r="BP188" s="45"/>
      <c r="BQ188" s="45"/>
      <c r="BR188" s="45"/>
      <c r="BS188" s="45"/>
      <c r="BT188" s="45"/>
    </row>
    <row r="189" spans="2:72" s="97" customFormat="1" x14ac:dyDescent="0.25">
      <c r="B189" s="98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  <c r="AA189" s="45"/>
      <c r="AB189" s="45"/>
      <c r="AC189" s="45"/>
      <c r="AD189" s="45"/>
      <c r="AE189" s="45"/>
      <c r="AF189" s="45"/>
      <c r="AG189" s="45"/>
      <c r="AH189" s="45"/>
      <c r="AI189" s="45"/>
      <c r="AJ189" s="45"/>
      <c r="AK189" s="45"/>
      <c r="AL189" s="45"/>
      <c r="AM189" s="45"/>
      <c r="AN189" s="45"/>
      <c r="AO189" s="45"/>
      <c r="AP189" s="45"/>
      <c r="AQ189" s="45"/>
      <c r="AR189" s="45"/>
      <c r="AS189" s="45"/>
      <c r="AT189" s="45"/>
      <c r="AU189" s="45"/>
      <c r="AV189" s="45"/>
      <c r="AW189" s="45"/>
      <c r="AX189" s="45"/>
      <c r="AY189" s="45"/>
      <c r="AZ189" s="45"/>
      <c r="BA189" s="45"/>
      <c r="BB189" s="45"/>
      <c r="BC189" s="45"/>
      <c r="BD189" s="45"/>
      <c r="BE189" s="45"/>
      <c r="BF189" s="45"/>
      <c r="BG189" s="45"/>
      <c r="BH189" s="45"/>
      <c r="BI189" s="45"/>
      <c r="BJ189" s="45"/>
      <c r="BK189" s="45"/>
      <c r="BL189" s="45"/>
      <c r="BM189" s="45"/>
      <c r="BN189" s="45"/>
      <c r="BO189" s="45"/>
      <c r="BP189" s="45"/>
      <c r="BQ189" s="45"/>
      <c r="BR189" s="45"/>
      <c r="BS189" s="45"/>
      <c r="BT189" s="45"/>
    </row>
    <row r="190" spans="2:72" s="97" customFormat="1" x14ac:dyDescent="0.25">
      <c r="B190" s="98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45"/>
      <c r="AB190" s="45"/>
      <c r="AC190" s="45"/>
      <c r="AD190" s="45"/>
      <c r="AE190" s="45"/>
      <c r="AF190" s="45"/>
      <c r="AG190" s="45"/>
      <c r="AH190" s="45"/>
      <c r="AI190" s="45"/>
      <c r="AJ190" s="45"/>
      <c r="AK190" s="45"/>
      <c r="AL190" s="45"/>
      <c r="AM190" s="45"/>
      <c r="AN190" s="45"/>
      <c r="AO190" s="45"/>
      <c r="AP190" s="45"/>
      <c r="AQ190" s="45"/>
      <c r="AR190" s="45"/>
      <c r="AS190" s="45"/>
      <c r="AT190" s="45"/>
      <c r="AU190" s="45"/>
      <c r="AV190" s="45"/>
      <c r="AW190" s="45"/>
      <c r="AX190" s="45"/>
      <c r="AY190" s="45"/>
      <c r="AZ190" s="45"/>
      <c r="BA190" s="45"/>
      <c r="BB190" s="45"/>
      <c r="BC190" s="45"/>
      <c r="BD190" s="45"/>
      <c r="BE190" s="45"/>
      <c r="BF190" s="45"/>
      <c r="BG190" s="45"/>
      <c r="BH190" s="45"/>
      <c r="BI190" s="45"/>
      <c r="BJ190" s="45"/>
      <c r="BK190" s="45"/>
      <c r="BL190" s="45"/>
      <c r="BM190" s="45"/>
      <c r="BN190" s="45"/>
      <c r="BO190" s="45"/>
      <c r="BP190" s="45"/>
      <c r="BQ190" s="45"/>
      <c r="BR190" s="45"/>
      <c r="BS190" s="45"/>
      <c r="BT190" s="45"/>
    </row>
    <row r="191" spans="2:72" s="97" customFormat="1" x14ac:dyDescent="0.25">
      <c r="B191" s="98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  <c r="AC191" s="45"/>
      <c r="AD191" s="45"/>
      <c r="AE191" s="45"/>
      <c r="AF191" s="45"/>
      <c r="AG191" s="45"/>
      <c r="AH191" s="45"/>
      <c r="AI191" s="45"/>
      <c r="AJ191" s="45"/>
      <c r="AK191" s="45"/>
      <c r="AL191" s="45"/>
      <c r="AM191" s="45"/>
      <c r="AN191" s="45"/>
      <c r="AO191" s="45"/>
      <c r="AP191" s="45"/>
      <c r="AQ191" s="45"/>
      <c r="AR191" s="45"/>
      <c r="AS191" s="45"/>
      <c r="AT191" s="45"/>
      <c r="AU191" s="45"/>
      <c r="AV191" s="45"/>
      <c r="AW191" s="45"/>
      <c r="AX191" s="45"/>
      <c r="AY191" s="45"/>
      <c r="AZ191" s="45"/>
      <c r="BA191" s="45"/>
      <c r="BB191" s="45"/>
      <c r="BC191" s="45"/>
      <c r="BD191" s="45"/>
      <c r="BE191" s="45"/>
      <c r="BF191" s="45"/>
      <c r="BG191" s="45"/>
      <c r="BH191" s="45"/>
      <c r="BI191" s="45"/>
      <c r="BJ191" s="45"/>
      <c r="BK191" s="45"/>
      <c r="BL191" s="45"/>
      <c r="BM191" s="45"/>
      <c r="BN191" s="45"/>
      <c r="BO191" s="45"/>
      <c r="BP191" s="45"/>
      <c r="BQ191" s="45"/>
      <c r="BR191" s="45"/>
      <c r="BS191" s="45"/>
      <c r="BT191" s="45"/>
    </row>
    <row r="192" spans="2:72" s="97" customFormat="1" x14ac:dyDescent="0.25">
      <c r="B192" s="98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  <c r="AJ192" s="45"/>
      <c r="AK192" s="45"/>
      <c r="AL192" s="45"/>
      <c r="AM192" s="45"/>
      <c r="AN192" s="45"/>
      <c r="AO192" s="45"/>
      <c r="AP192" s="45"/>
      <c r="AQ192" s="45"/>
      <c r="AR192" s="45"/>
      <c r="AS192" s="45"/>
      <c r="AT192" s="45"/>
      <c r="AU192" s="45"/>
      <c r="AV192" s="45"/>
      <c r="AW192" s="45"/>
      <c r="AX192" s="45"/>
      <c r="AY192" s="45"/>
      <c r="AZ192" s="45"/>
      <c r="BA192" s="45"/>
      <c r="BB192" s="45"/>
      <c r="BC192" s="45"/>
      <c r="BD192" s="45"/>
      <c r="BE192" s="45"/>
      <c r="BF192" s="45"/>
      <c r="BG192" s="45"/>
      <c r="BH192" s="45"/>
      <c r="BI192" s="45"/>
      <c r="BJ192" s="45"/>
      <c r="BK192" s="45"/>
      <c r="BL192" s="45"/>
      <c r="BM192" s="45"/>
      <c r="BN192" s="45"/>
      <c r="BO192" s="45"/>
      <c r="BP192" s="45"/>
      <c r="BQ192" s="45"/>
      <c r="BR192" s="45"/>
      <c r="BS192" s="45"/>
      <c r="BT192" s="45"/>
    </row>
    <row r="193" spans="2:72" s="97" customFormat="1" x14ac:dyDescent="0.25">
      <c r="B193" s="98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  <c r="AC193" s="45"/>
      <c r="AD193" s="45"/>
      <c r="AE193" s="45"/>
      <c r="AF193" s="45"/>
      <c r="AG193" s="45"/>
      <c r="AH193" s="45"/>
      <c r="AI193" s="45"/>
      <c r="AJ193" s="45"/>
      <c r="AK193" s="45"/>
      <c r="AL193" s="45"/>
      <c r="AM193" s="45"/>
      <c r="AN193" s="45"/>
      <c r="AO193" s="45"/>
      <c r="AP193" s="45"/>
      <c r="AQ193" s="45"/>
      <c r="AR193" s="45"/>
      <c r="AS193" s="45"/>
      <c r="AT193" s="45"/>
      <c r="AU193" s="45"/>
      <c r="AV193" s="45"/>
      <c r="AW193" s="45"/>
      <c r="AX193" s="45"/>
      <c r="AY193" s="45"/>
      <c r="AZ193" s="45"/>
      <c r="BA193" s="45"/>
      <c r="BB193" s="45"/>
      <c r="BC193" s="45"/>
      <c r="BD193" s="45"/>
      <c r="BE193" s="45"/>
      <c r="BF193" s="45"/>
      <c r="BG193" s="45"/>
      <c r="BH193" s="45"/>
      <c r="BI193" s="45"/>
      <c r="BJ193" s="45"/>
      <c r="BK193" s="45"/>
      <c r="BL193" s="45"/>
      <c r="BM193" s="45"/>
      <c r="BN193" s="45"/>
      <c r="BO193" s="45"/>
      <c r="BP193" s="45"/>
      <c r="BQ193" s="45"/>
      <c r="BR193" s="45"/>
      <c r="BS193" s="45"/>
      <c r="BT193" s="45"/>
    </row>
    <row r="194" spans="2:72" s="97" customFormat="1" x14ac:dyDescent="0.25">
      <c r="B194" s="98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  <c r="AJ194" s="45"/>
      <c r="AK194" s="45"/>
      <c r="AL194" s="45"/>
      <c r="AM194" s="45"/>
      <c r="AN194" s="45"/>
      <c r="AO194" s="45"/>
      <c r="AP194" s="45"/>
      <c r="AQ194" s="45"/>
      <c r="AR194" s="45"/>
      <c r="AS194" s="45"/>
      <c r="AT194" s="45"/>
      <c r="AU194" s="45"/>
      <c r="AV194" s="45"/>
      <c r="AW194" s="45"/>
      <c r="AX194" s="45"/>
      <c r="AY194" s="45"/>
      <c r="AZ194" s="45"/>
      <c r="BA194" s="45"/>
      <c r="BB194" s="45"/>
      <c r="BC194" s="45"/>
      <c r="BD194" s="45"/>
      <c r="BE194" s="45"/>
      <c r="BF194" s="45"/>
      <c r="BG194" s="45"/>
      <c r="BH194" s="45"/>
      <c r="BI194" s="45"/>
      <c r="BJ194" s="45"/>
      <c r="BK194" s="45"/>
      <c r="BL194" s="45"/>
      <c r="BM194" s="45"/>
      <c r="BN194" s="45"/>
      <c r="BO194" s="45"/>
      <c r="BP194" s="45"/>
      <c r="BQ194" s="45"/>
      <c r="BR194" s="45"/>
      <c r="BS194" s="45"/>
      <c r="BT194" s="45"/>
    </row>
    <row r="195" spans="2:72" s="97" customFormat="1" x14ac:dyDescent="0.25">
      <c r="B195" s="98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/>
      <c r="Z195" s="45"/>
      <c r="AA195" s="45"/>
      <c r="AB195" s="45"/>
      <c r="AC195" s="45"/>
      <c r="AD195" s="45"/>
      <c r="AE195" s="45"/>
      <c r="AF195" s="45"/>
      <c r="AG195" s="45"/>
      <c r="AH195" s="45"/>
      <c r="AI195" s="45"/>
      <c r="AJ195" s="45"/>
      <c r="AK195" s="45"/>
      <c r="AL195" s="45"/>
      <c r="AM195" s="45"/>
      <c r="AN195" s="45"/>
      <c r="AO195" s="45"/>
      <c r="AP195" s="45"/>
      <c r="AQ195" s="45"/>
      <c r="AR195" s="45"/>
      <c r="AS195" s="45"/>
      <c r="AT195" s="45"/>
      <c r="AU195" s="45"/>
      <c r="AV195" s="45"/>
      <c r="AW195" s="45"/>
      <c r="AX195" s="45"/>
      <c r="AY195" s="45"/>
      <c r="AZ195" s="45"/>
      <c r="BA195" s="45"/>
      <c r="BB195" s="45"/>
      <c r="BC195" s="45"/>
      <c r="BD195" s="45"/>
      <c r="BE195" s="45"/>
      <c r="BF195" s="45"/>
      <c r="BG195" s="45"/>
      <c r="BH195" s="45"/>
      <c r="BI195" s="45"/>
      <c r="BJ195" s="45"/>
      <c r="BK195" s="45"/>
      <c r="BL195" s="45"/>
      <c r="BM195" s="45"/>
      <c r="BN195" s="45"/>
      <c r="BO195" s="45"/>
      <c r="BP195" s="45"/>
      <c r="BQ195" s="45"/>
      <c r="BR195" s="45"/>
      <c r="BS195" s="45"/>
      <c r="BT195" s="45"/>
    </row>
    <row r="196" spans="2:72" s="97" customFormat="1" x14ac:dyDescent="0.25">
      <c r="B196" s="98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  <c r="AA196" s="45"/>
      <c r="AB196" s="45"/>
      <c r="AC196" s="45"/>
      <c r="AD196" s="45"/>
      <c r="AE196" s="45"/>
      <c r="AF196" s="45"/>
      <c r="AG196" s="45"/>
      <c r="AH196" s="45"/>
      <c r="AI196" s="45"/>
      <c r="AJ196" s="45"/>
      <c r="AK196" s="45"/>
      <c r="AL196" s="45"/>
      <c r="AM196" s="45"/>
      <c r="AN196" s="45"/>
      <c r="AO196" s="45"/>
      <c r="AP196" s="45"/>
      <c r="AQ196" s="45"/>
      <c r="AR196" s="45"/>
      <c r="AS196" s="45"/>
      <c r="AT196" s="45"/>
      <c r="AU196" s="45"/>
      <c r="AV196" s="45"/>
      <c r="AW196" s="45"/>
      <c r="AX196" s="45"/>
      <c r="AY196" s="45"/>
      <c r="AZ196" s="45"/>
      <c r="BA196" s="45"/>
      <c r="BB196" s="45"/>
      <c r="BC196" s="45"/>
      <c r="BD196" s="45"/>
      <c r="BE196" s="45"/>
      <c r="BF196" s="45"/>
      <c r="BG196" s="45"/>
      <c r="BH196" s="45"/>
      <c r="BI196" s="45"/>
      <c r="BJ196" s="45"/>
      <c r="BK196" s="45"/>
      <c r="BL196" s="45"/>
      <c r="BM196" s="45"/>
      <c r="BN196" s="45"/>
      <c r="BO196" s="45"/>
      <c r="BP196" s="45"/>
      <c r="BQ196" s="45"/>
      <c r="BR196" s="45"/>
      <c r="BS196" s="45"/>
      <c r="BT196" s="45"/>
    </row>
    <row r="197" spans="2:72" s="97" customFormat="1" x14ac:dyDescent="0.25">
      <c r="B197" s="98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  <c r="AA197" s="45"/>
      <c r="AB197" s="45"/>
      <c r="AC197" s="45"/>
      <c r="AD197" s="45"/>
      <c r="AE197" s="45"/>
      <c r="AF197" s="45"/>
      <c r="AG197" s="45"/>
      <c r="AH197" s="45"/>
      <c r="AI197" s="45"/>
      <c r="AJ197" s="45"/>
      <c r="AK197" s="45"/>
      <c r="AL197" s="45"/>
      <c r="AM197" s="45"/>
      <c r="AN197" s="45"/>
      <c r="AO197" s="45"/>
      <c r="AP197" s="45"/>
      <c r="AQ197" s="45"/>
      <c r="AR197" s="45"/>
      <c r="AS197" s="45"/>
      <c r="AT197" s="45"/>
      <c r="AU197" s="45"/>
      <c r="AV197" s="45"/>
      <c r="AW197" s="45"/>
      <c r="AX197" s="45"/>
      <c r="AY197" s="45"/>
      <c r="AZ197" s="45"/>
      <c r="BA197" s="45"/>
      <c r="BB197" s="45"/>
      <c r="BC197" s="45"/>
      <c r="BD197" s="45"/>
      <c r="BE197" s="45"/>
      <c r="BF197" s="45"/>
      <c r="BG197" s="45"/>
      <c r="BH197" s="45"/>
      <c r="BI197" s="45"/>
      <c r="BJ197" s="45"/>
      <c r="BK197" s="45"/>
      <c r="BL197" s="45"/>
      <c r="BM197" s="45"/>
      <c r="BN197" s="45"/>
      <c r="BO197" s="45"/>
      <c r="BP197" s="45"/>
      <c r="BQ197" s="45"/>
      <c r="BR197" s="45"/>
      <c r="BS197" s="45"/>
      <c r="BT197" s="45"/>
    </row>
    <row r="198" spans="2:72" s="97" customFormat="1" x14ac:dyDescent="0.25">
      <c r="B198" s="98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45"/>
      <c r="AB198" s="45"/>
      <c r="AC198" s="45"/>
      <c r="AD198" s="45"/>
      <c r="AE198" s="45"/>
      <c r="AF198" s="45"/>
      <c r="AG198" s="45"/>
      <c r="AH198" s="45"/>
      <c r="AI198" s="45"/>
      <c r="AJ198" s="45"/>
      <c r="AK198" s="45"/>
      <c r="AL198" s="45"/>
      <c r="AM198" s="45"/>
      <c r="AN198" s="45"/>
      <c r="AO198" s="45"/>
      <c r="AP198" s="45"/>
      <c r="AQ198" s="45"/>
      <c r="AR198" s="45"/>
      <c r="AS198" s="45"/>
      <c r="AT198" s="45"/>
      <c r="AU198" s="45"/>
      <c r="AV198" s="45"/>
      <c r="AW198" s="45"/>
      <c r="AX198" s="45"/>
      <c r="AY198" s="45"/>
      <c r="AZ198" s="45"/>
      <c r="BA198" s="45"/>
      <c r="BB198" s="45"/>
      <c r="BC198" s="45"/>
      <c r="BD198" s="45"/>
      <c r="BE198" s="45"/>
      <c r="BF198" s="45"/>
      <c r="BG198" s="45"/>
      <c r="BH198" s="45"/>
      <c r="BI198" s="45"/>
      <c r="BJ198" s="45"/>
      <c r="BK198" s="45"/>
      <c r="BL198" s="45"/>
      <c r="BM198" s="45"/>
      <c r="BN198" s="45"/>
      <c r="BO198" s="45"/>
      <c r="BP198" s="45"/>
      <c r="BQ198" s="45"/>
      <c r="BR198" s="45"/>
      <c r="BS198" s="45"/>
      <c r="BT198" s="45"/>
    </row>
    <row r="199" spans="2:72" s="97" customFormat="1" x14ac:dyDescent="0.25">
      <c r="B199" s="98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45"/>
      <c r="AB199" s="45"/>
      <c r="AC199" s="45"/>
      <c r="AD199" s="45"/>
      <c r="AE199" s="45"/>
      <c r="AF199" s="45"/>
      <c r="AG199" s="45"/>
      <c r="AH199" s="45"/>
      <c r="AI199" s="45"/>
      <c r="AJ199" s="45"/>
      <c r="AK199" s="45"/>
      <c r="AL199" s="45"/>
      <c r="AM199" s="45"/>
      <c r="AN199" s="45"/>
      <c r="AO199" s="45"/>
      <c r="AP199" s="45"/>
      <c r="AQ199" s="45"/>
      <c r="AR199" s="45"/>
      <c r="AS199" s="45"/>
      <c r="AT199" s="45"/>
      <c r="AU199" s="45"/>
      <c r="AV199" s="45"/>
      <c r="AW199" s="45"/>
      <c r="AX199" s="45"/>
      <c r="AY199" s="45"/>
      <c r="AZ199" s="45"/>
      <c r="BA199" s="45"/>
      <c r="BB199" s="45"/>
      <c r="BC199" s="45"/>
      <c r="BD199" s="45"/>
      <c r="BE199" s="45"/>
      <c r="BF199" s="45"/>
      <c r="BG199" s="45"/>
      <c r="BH199" s="45"/>
      <c r="BI199" s="45"/>
      <c r="BJ199" s="45"/>
      <c r="BK199" s="45"/>
      <c r="BL199" s="45"/>
      <c r="BM199" s="45"/>
      <c r="BN199" s="45"/>
      <c r="BO199" s="45"/>
      <c r="BP199" s="45"/>
      <c r="BQ199" s="45"/>
      <c r="BR199" s="45"/>
      <c r="BS199" s="45"/>
      <c r="BT199" s="45"/>
    </row>
    <row r="200" spans="2:72" s="97" customFormat="1" x14ac:dyDescent="0.25">
      <c r="B200" s="98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45"/>
      <c r="AB200" s="45"/>
      <c r="AC200" s="45"/>
      <c r="AD200" s="45"/>
      <c r="AE200" s="45"/>
      <c r="AF200" s="45"/>
      <c r="AG200" s="45"/>
      <c r="AH200" s="45"/>
      <c r="AI200" s="45"/>
      <c r="AJ200" s="45"/>
      <c r="AK200" s="45"/>
      <c r="AL200" s="45"/>
      <c r="AM200" s="45"/>
      <c r="AN200" s="45"/>
      <c r="AO200" s="45"/>
      <c r="AP200" s="45"/>
      <c r="AQ200" s="45"/>
      <c r="AR200" s="45"/>
      <c r="AS200" s="45"/>
      <c r="AT200" s="45"/>
      <c r="AU200" s="45"/>
      <c r="AV200" s="45"/>
      <c r="AW200" s="45"/>
      <c r="AX200" s="45"/>
      <c r="AY200" s="45"/>
      <c r="AZ200" s="45"/>
      <c r="BA200" s="45"/>
      <c r="BB200" s="45"/>
      <c r="BC200" s="45"/>
      <c r="BD200" s="45"/>
      <c r="BE200" s="45"/>
      <c r="BF200" s="45"/>
      <c r="BG200" s="45"/>
      <c r="BH200" s="45"/>
      <c r="BI200" s="45"/>
      <c r="BJ200" s="45"/>
      <c r="BK200" s="45"/>
      <c r="BL200" s="45"/>
      <c r="BM200" s="45"/>
      <c r="BN200" s="45"/>
      <c r="BO200" s="45"/>
      <c r="BP200" s="45"/>
      <c r="BQ200" s="45"/>
      <c r="BR200" s="45"/>
      <c r="BS200" s="45"/>
      <c r="BT200" s="45"/>
    </row>
    <row r="201" spans="2:72" s="97" customFormat="1" x14ac:dyDescent="0.25">
      <c r="B201" s="98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  <c r="AC201" s="45"/>
      <c r="AD201" s="45"/>
      <c r="AE201" s="45"/>
      <c r="AF201" s="45"/>
      <c r="AG201" s="45"/>
      <c r="AH201" s="45"/>
      <c r="AI201" s="45"/>
      <c r="AJ201" s="45"/>
      <c r="AK201" s="45"/>
      <c r="AL201" s="45"/>
      <c r="AM201" s="45"/>
      <c r="AN201" s="45"/>
      <c r="AO201" s="45"/>
      <c r="AP201" s="45"/>
      <c r="AQ201" s="45"/>
      <c r="AR201" s="45"/>
      <c r="AS201" s="45"/>
      <c r="AT201" s="45"/>
      <c r="AU201" s="45"/>
      <c r="AV201" s="45"/>
      <c r="AW201" s="45"/>
      <c r="AX201" s="45"/>
      <c r="AY201" s="45"/>
      <c r="AZ201" s="45"/>
      <c r="BA201" s="45"/>
      <c r="BB201" s="45"/>
      <c r="BC201" s="45"/>
      <c r="BD201" s="45"/>
      <c r="BE201" s="45"/>
      <c r="BF201" s="45"/>
      <c r="BG201" s="45"/>
      <c r="BH201" s="45"/>
      <c r="BI201" s="45"/>
      <c r="BJ201" s="45"/>
      <c r="BK201" s="45"/>
      <c r="BL201" s="45"/>
      <c r="BM201" s="45"/>
      <c r="BN201" s="45"/>
      <c r="BO201" s="45"/>
      <c r="BP201" s="45"/>
      <c r="BQ201" s="45"/>
      <c r="BR201" s="45"/>
      <c r="BS201" s="45"/>
      <c r="BT201" s="45"/>
    </row>
    <row r="202" spans="2:72" s="97" customFormat="1" x14ac:dyDescent="0.25">
      <c r="B202" s="98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  <c r="AA202" s="45"/>
      <c r="AB202" s="45"/>
      <c r="AC202" s="45"/>
      <c r="AD202" s="45"/>
      <c r="AE202" s="45"/>
      <c r="AF202" s="45"/>
      <c r="AG202" s="45"/>
      <c r="AH202" s="45"/>
      <c r="AI202" s="45"/>
      <c r="AJ202" s="45"/>
      <c r="AK202" s="45"/>
      <c r="AL202" s="45"/>
      <c r="AM202" s="45"/>
      <c r="AN202" s="45"/>
      <c r="AO202" s="45"/>
      <c r="AP202" s="45"/>
      <c r="AQ202" s="45"/>
      <c r="AR202" s="45"/>
      <c r="AS202" s="45"/>
      <c r="AT202" s="45"/>
      <c r="AU202" s="45"/>
      <c r="AV202" s="45"/>
      <c r="AW202" s="45"/>
      <c r="AX202" s="45"/>
      <c r="AY202" s="45"/>
      <c r="AZ202" s="45"/>
      <c r="BA202" s="45"/>
      <c r="BB202" s="45"/>
      <c r="BC202" s="45"/>
      <c r="BD202" s="45"/>
      <c r="BE202" s="45"/>
      <c r="BF202" s="45"/>
      <c r="BG202" s="45"/>
      <c r="BH202" s="45"/>
      <c r="BI202" s="45"/>
      <c r="BJ202" s="45"/>
      <c r="BK202" s="45"/>
      <c r="BL202" s="45"/>
      <c r="BM202" s="45"/>
      <c r="BN202" s="45"/>
      <c r="BO202" s="45"/>
      <c r="BP202" s="45"/>
      <c r="BQ202" s="45"/>
      <c r="BR202" s="45"/>
      <c r="BS202" s="45"/>
      <c r="BT202" s="45"/>
    </row>
    <row r="203" spans="2:72" s="97" customFormat="1" x14ac:dyDescent="0.25">
      <c r="B203" s="98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  <c r="AC203" s="45"/>
      <c r="AD203" s="45"/>
      <c r="AE203" s="45"/>
      <c r="AF203" s="45"/>
      <c r="AG203" s="45"/>
      <c r="AH203" s="45"/>
      <c r="AI203" s="45"/>
      <c r="AJ203" s="45"/>
      <c r="AK203" s="45"/>
      <c r="AL203" s="45"/>
      <c r="AM203" s="45"/>
      <c r="AN203" s="45"/>
      <c r="AO203" s="45"/>
      <c r="AP203" s="45"/>
      <c r="AQ203" s="45"/>
      <c r="AR203" s="45"/>
      <c r="AS203" s="45"/>
      <c r="AT203" s="45"/>
      <c r="AU203" s="45"/>
      <c r="AV203" s="45"/>
      <c r="AW203" s="45"/>
      <c r="AX203" s="45"/>
      <c r="AY203" s="45"/>
      <c r="AZ203" s="45"/>
      <c r="BA203" s="45"/>
      <c r="BB203" s="45"/>
      <c r="BC203" s="45"/>
      <c r="BD203" s="45"/>
      <c r="BE203" s="45"/>
      <c r="BF203" s="45"/>
      <c r="BG203" s="45"/>
      <c r="BH203" s="45"/>
      <c r="BI203" s="45"/>
      <c r="BJ203" s="45"/>
      <c r="BK203" s="45"/>
      <c r="BL203" s="45"/>
      <c r="BM203" s="45"/>
      <c r="BN203" s="45"/>
      <c r="BO203" s="45"/>
      <c r="BP203" s="45"/>
      <c r="BQ203" s="45"/>
      <c r="BR203" s="45"/>
      <c r="BS203" s="45"/>
      <c r="BT203" s="45"/>
    </row>
    <row r="204" spans="2:72" s="97" customFormat="1" x14ac:dyDescent="0.25">
      <c r="B204" s="98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45"/>
      <c r="AB204" s="45"/>
      <c r="AC204" s="45"/>
      <c r="AD204" s="45"/>
      <c r="AE204" s="45"/>
      <c r="AF204" s="45"/>
      <c r="AG204" s="45"/>
      <c r="AH204" s="45"/>
      <c r="AI204" s="45"/>
      <c r="AJ204" s="45"/>
      <c r="AK204" s="45"/>
      <c r="AL204" s="45"/>
      <c r="AM204" s="45"/>
      <c r="AN204" s="45"/>
      <c r="AO204" s="45"/>
      <c r="AP204" s="45"/>
      <c r="AQ204" s="45"/>
      <c r="AR204" s="45"/>
      <c r="AS204" s="45"/>
      <c r="AT204" s="45"/>
      <c r="AU204" s="45"/>
      <c r="AV204" s="45"/>
      <c r="AW204" s="45"/>
      <c r="AX204" s="45"/>
      <c r="AY204" s="45"/>
      <c r="AZ204" s="45"/>
      <c r="BA204" s="45"/>
      <c r="BB204" s="45"/>
      <c r="BC204" s="45"/>
      <c r="BD204" s="45"/>
      <c r="BE204" s="45"/>
      <c r="BF204" s="45"/>
      <c r="BG204" s="45"/>
      <c r="BH204" s="45"/>
      <c r="BI204" s="45"/>
      <c r="BJ204" s="45"/>
      <c r="BK204" s="45"/>
      <c r="BL204" s="45"/>
      <c r="BM204" s="45"/>
      <c r="BN204" s="45"/>
      <c r="BO204" s="45"/>
      <c r="BP204" s="45"/>
      <c r="BQ204" s="45"/>
      <c r="BR204" s="45"/>
      <c r="BS204" s="45"/>
      <c r="BT204" s="45"/>
    </row>
    <row r="205" spans="2:72" s="97" customFormat="1" x14ac:dyDescent="0.25">
      <c r="B205" s="98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  <c r="AA205" s="45"/>
      <c r="AB205" s="45"/>
      <c r="AC205" s="45"/>
      <c r="AD205" s="45"/>
      <c r="AE205" s="45"/>
      <c r="AF205" s="45"/>
      <c r="AG205" s="45"/>
      <c r="AH205" s="45"/>
      <c r="AI205" s="45"/>
      <c r="AJ205" s="45"/>
      <c r="AK205" s="45"/>
      <c r="AL205" s="45"/>
      <c r="AM205" s="45"/>
      <c r="AN205" s="45"/>
      <c r="AO205" s="45"/>
      <c r="AP205" s="45"/>
      <c r="AQ205" s="45"/>
      <c r="AR205" s="45"/>
      <c r="AS205" s="45"/>
      <c r="AT205" s="45"/>
      <c r="AU205" s="45"/>
      <c r="AV205" s="45"/>
      <c r="AW205" s="45"/>
      <c r="AX205" s="45"/>
      <c r="AY205" s="45"/>
      <c r="AZ205" s="45"/>
      <c r="BA205" s="45"/>
      <c r="BB205" s="45"/>
      <c r="BC205" s="45"/>
      <c r="BD205" s="45"/>
      <c r="BE205" s="45"/>
      <c r="BF205" s="45"/>
      <c r="BG205" s="45"/>
      <c r="BH205" s="45"/>
      <c r="BI205" s="45"/>
      <c r="BJ205" s="45"/>
      <c r="BK205" s="45"/>
      <c r="BL205" s="45"/>
      <c r="BM205" s="45"/>
      <c r="BN205" s="45"/>
      <c r="BO205" s="45"/>
      <c r="BP205" s="45"/>
      <c r="BQ205" s="45"/>
      <c r="BR205" s="45"/>
      <c r="BS205" s="45"/>
      <c r="BT205" s="45"/>
    </row>
    <row r="206" spans="2:72" s="97" customFormat="1" x14ac:dyDescent="0.25">
      <c r="B206" s="98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  <c r="Z206" s="45"/>
      <c r="AA206" s="45"/>
      <c r="AB206" s="45"/>
      <c r="AC206" s="45"/>
      <c r="AD206" s="45"/>
      <c r="AE206" s="45"/>
      <c r="AF206" s="45"/>
      <c r="AG206" s="45"/>
      <c r="AH206" s="45"/>
      <c r="AI206" s="45"/>
      <c r="AJ206" s="45"/>
      <c r="AK206" s="45"/>
      <c r="AL206" s="45"/>
      <c r="AM206" s="45"/>
      <c r="AN206" s="45"/>
      <c r="AO206" s="45"/>
      <c r="AP206" s="45"/>
      <c r="AQ206" s="45"/>
      <c r="AR206" s="45"/>
      <c r="AS206" s="45"/>
      <c r="AT206" s="45"/>
      <c r="AU206" s="45"/>
      <c r="AV206" s="45"/>
      <c r="AW206" s="45"/>
      <c r="AX206" s="45"/>
      <c r="AY206" s="45"/>
      <c r="AZ206" s="45"/>
      <c r="BA206" s="45"/>
      <c r="BB206" s="45"/>
      <c r="BC206" s="45"/>
      <c r="BD206" s="45"/>
      <c r="BE206" s="45"/>
      <c r="BF206" s="45"/>
      <c r="BG206" s="45"/>
      <c r="BH206" s="45"/>
      <c r="BI206" s="45"/>
      <c r="BJ206" s="45"/>
      <c r="BK206" s="45"/>
      <c r="BL206" s="45"/>
      <c r="BM206" s="45"/>
      <c r="BN206" s="45"/>
      <c r="BO206" s="45"/>
      <c r="BP206" s="45"/>
      <c r="BQ206" s="45"/>
      <c r="BR206" s="45"/>
      <c r="BS206" s="45"/>
      <c r="BT206" s="45"/>
    </row>
    <row r="207" spans="2:72" s="97" customFormat="1" x14ac:dyDescent="0.25">
      <c r="B207" s="98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  <c r="AA207" s="45"/>
      <c r="AB207" s="45"/>
      <c r="AC207" s="45"/>
      <c r="AD207" s="45"/>
      <c r="AE207" s="45"/>
      <c r="AF207" s="45"/>
      <c r="AG207" s="45"/>
      <c r="AH207" s="45"/>
      <c r="AI207" s="45"/>
      <c r="AJ207" s="45"/>
      <c r="AK207" s="45"/>
      <c r="AL207" s="45"/>
      <c r="AM207" s="45"/>
      <c r="AN207" s="45"/>
      <c r="AO207" s="45"/>
      <c r="AP207" s="45"/>
      <c r="AQ207" s="45"/>
      <c r="AR207" s="45"/>
      <c r="AS207" s="45"/>
      <c r="AT207" s="45"/>
      <c r="AU207" s="45"/>
      <c r="AV207" s="45"/>
      <c r="AW207" s="45"/>
      <c r="AX207" s="45"/>
      <c r="AY207" s="45"/>
      <c r="AZ207" s="45"/>
      <c r="BA207" s="45"/>
      <c r="BB207" s="45"/>
      <c r="BC207" s="45"/>
      <c r="BD207" s="45"/>
      <c r="BE207" s="45"/>
      <c r="BF207" s="45"/>
      <c r="BG207" s="45"/>
      <c r="BH207" s="45"/>
      <c r="BI207" s="45"/>
      <c r="BJ207" s="45"/>
      <c r="BK207" s="45"/>
      <c r="BL207" s="45"/>
      <c r="BM207" s="45"/>
      <c r="BN207" s="45"/>
      <c r="BO207" s="45"/>
      <c r="BP207" s="45"/>
      <c r="BQ207" s="45"/>
      <c r="BR207" s="45"/>
      <c r="BS207" s="45"/>
      <c r="BT207" s="45"/>
    </row>
    <row r="208" spans="2:72" s="97" customFormat="1" x14ac:dyDescent="0.25">
      <c r="B208" s="98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  <c r="X208" s="45"/>
      <c r="Y208" s="45"/>
      <c r="Z208" s="45"/>
      <c r="AA208" s="45"/>
      <c r="AB208" s="45"/>
      <c r="AC208" s="45"/>
      <c r="AD208" s="45"/>
      <c r="AE208" s="45"/>
      <c r="AF208" s="45"/>
      <c r="AG208" s="45"/>
      <c r="AH208" s="45"/>
      <c r="AI208" s="45"/>
      <c r="AJ208" s="45"/>
      <c r="AK208" s="45"/>
      <c r="AL208" s="45"/>
      <c r="AM208" s="45"/>
      <c r="AN208" s="45"/>
      <c r="AO208" s="45"/>
      <c r="AP208" s="45"/>
      <c r="AQ208" s="45"/>
      <c r="AR208" s="45"/>
      <c r="AS208" s="45"/>
      <c r="AT208" s="45"/>
      <c r="AU208" s="45"/>
      <c r="AV208" s="45"/>
      <c r="AW208" s="45"/>
      <c r="AX208" s="45"/>
      <c r="AY208" s="45"/>
      <c r="AZ208" s="45"/>
      <c r="BA208" s="45"/>
      <c r="BB208" s="45"/>
      <c r="BC208" s="45"/>
      <c r="BD208" s="45"/>
      <c r="BE208" s="45"/>
      <c r="BF208" s="45"/>
      <c r="BG208" s="45"/>
      <c r="BH208" s="45"/>
      <c r="BI208" s="45"/>
      <c r="BJ208" s="45"/>
      <c r="BK208" s="45"/>
      <c r="BL208" s="45"/>
      <c r="BM208" s="45"/>
      <c r="BN208" s="45"/>
      <c r="BO208" s="45"/>
      <c r="BP208" s="45"/>
      <c r="BQ208" s="45"/>
      <c r="BR208" s="45"/>
      <c r="BS208" s="45"/>
      <c r="BT208" s="45"/>
    </row>
    <row r="209" spans="2:72" s="97" customFormat="1" x14ac:dyDescent="0.25">
      <c r="B209" s="98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  <c r="Y209" s="45"/>
      <c r="Z209" s="45"/>
      <c r="AA209" s="45"/>
      <c r="AB209" s="45"/>
      <c r="AC209" s="45"/>
      <c r="AD209" s="45"/>
      <c r="AE209" s="45"/>
      <c r="AF209" s="45"/>
      <c r="AG209" s="45"/>
      <c r="AH209" s="45"/>
      <c r="AI209" s="45"/>
      <c r="AJ209" s="45"/>
      <c r="AK209" s="45"/>
      <c r="AL209" s="45"/>
      <c r="AM209" s="45"/>
      <c r="AN209" s="45"/>
      <c r="AO209" s="45"/>
      <c r="AP209" s="45"/>
      <c r="AQ209" s="45"/>
      <c r="AR209" s="45"/>
      <c r="AS209" s="45"/>
      <c r="AT209" s="45"/>
      <c r="AU209" s="45"/>
      <c r="AV209" s="45"/>
      <c r="AW209" s="45"/>
      <c r="AX209" s="45"/>
      <c r="AY209" s="45"/>
      <c r="AZ209" s="45"/>
      <c r="BA209" s="45"/>
      <c r="BB209" s="45"/>
      <c r="BC209" s="45"/>
      <c r="BD209" s="45"/>
      <c r="BE209" s="45"/>
      <c r="BF209" s="45"/>
      <c r="BG209" s="45"/>
      <c r="BH209" s="45"/>
      <c r="BI209" s="45"/>
      <c r="BJ209" s="45"/>
      <c r="BK209" s="45"/>
      <c r="BL209" s="45"/>
      <c r="BM209" s="45"/>
      <c r="BN209" s="45"/>
      <c r="BO209" s="45"/>
      <c r="BP209" s="45"/>
      <c r="BQ209" s="45"/>
      <c r="BR209" s="45"/>
      <c r="BS209" s="45"/>
      <c r="BT209" s="45"/>
    </row>
    <row r="210" spans="2:72" s="97" customFormat="1" x14ac:dyDescent="0.25">
      <c r="B210" s="98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  <c r="X210" s="45"/>
      <c r="Y210" s="45"/>
      <c r="Z210" s="45"/>
      <c r="AA210" s="45"/>
      <c r="AB210" s="45"/>
      <c r="AC210" s="45"/>
      <c r="AD210" s="45"/>
      <c r="AE210" s="45"/>
      <c r="AF210" s="45"/>
      <c r="AG210" s="45"/>
      <c r="AH210" s="45"/>
      <c r="AI210" s="45"/>
      <c r="AJ210" s="45"/>
      <c r="AK210" s="45"/>
      <c r="AL210" s="45"/>
      <c r="AM210" s="45"/>
      <c r="AN210" s="45"/>
      <c r="AO210" s="45"/>
      <c r="AP210" s="45"/>
      <c r="AQ210" s="45"/>
      <c r="AR210" s="45"/>
      <c r="AS210" s="45"/>
      <c r="AT210" s="45"/>
      <c r="AU210" s="45"/>
      <c r="AV210" s="45"/>
      <c r="AW210" s="45"/>
      <c r="AX210" s="45"/>
      <c r="AY210" s="45"/>
      <c r="AZ210" s="45"/>
      <c r="BA210" s="45"/>
      <c r="BB210" s="45"/>
      <c r="BC210" s="45"/>
      <c r="BD210" s="45"/>
      <c r="BE210" s="45"/>
      <c r="BF210" s="45"/>
      <c r="BG210" s="45"/>
      <c r="BH210" s="45"/>
      <c r="BI210" s="45"/>
      <c r="BJ210" s="45"/>
      <c r="BK210" s="45"/>
      <c r="BL210" s="45"/>
      <c r="BM210" s="45"/>
      <c r="BN210" s="45"/>
      <c r="BO210" s="45"/>
      <c r="BP210" s="45"/>
      <c r="BQ210" s="45"/>
      <c r="BR210" s="45"/>
      <c r="BS210" s="45"/>
      <c r="BT210" s="45"/>
    </row>
    <row r="211" spans="2:72" s="97" customFormat="1" x14ac:dyDescent="0.25">
      <c r="B211" s="98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  <c r="W211" s="45"/>
      <c r="X211" s="45"/>
      <c r="Y211" s="45"/>
      <c r="Z211" s="45"/>
      <c r="AA211" s="45"/>
      <c r="AB211" s="45"/>
      <c r="AC211" s="45"/>
      <c r="AD211" s="45"/>
      <c r="AE211" s="45"/>
      <c r="AF211" s="45"/>
      <c r="AG211" s="45"/>
      <c r="AH211" s="45"/>
      <c r="AI211" s="45"/>
      <c r="AJ211" s="45"/>
      <c r="AK211" s="45"/>
      <c r="AL211" s="45"/>
      <c r="AM211" s="45"/>
      <c r="AN211" s="45"/>
      <c r="AO211" s="45"/>
      <c r="AP211" s="45"/>
      <c r="AQ211" s="45"/>
      <c r="AR211" s="45"/>
      <c r="AS211" s="45"/>
      <c r="AT211" s="45"/>
      <c r="AU211" s="45"/>
      <c r="AV211" s="45"/>
      <c r="AW211" s="45"/>
      <c r="AX211" s="45"/>
      <c r="AY211" s="45"/>
      <c r="AZ211" s="45"/>
      <c r="BA211" s="45"/>
      <c r="BB211" s="45"/>
      <c r="BC211" s="45"/>
      <c r="BD211" s="45"/>
      <c r="BE211" s="45"/>
      <c r="BF211" s="45"/>
      <c r="BG211" s="45"/>
      <c r="BH211" s="45"/>
      <c r="BI211" s="45"/>
      <c r="BJ211" s="45"/>
      <c r="BK211" s="45"/>
      <c r="BL211" s="45"/>
      <c r="BM211" s="45"/>
      <c r="BN211" s="45"/>
      <c r="BO211" s="45"/>
      <c r="BP211" s="45"/>
      <c r="BQ211" s="45"/>
      <c r="BR211" s="45"/>
      <c r="BS211" s="45"/>
      <c r="BT211" s="45"/>
    </row>
    <row r="212" spans="2:72" s="97" customFormat="1" x14ac:dyDescent="0.25">
      <c r="B212" s="98"/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45"/>
      <c r="W212" s="45"/>
      <c r="X212" s="45"/>
      <c r="Y212" s="45"/>
      <c r="Z212" s="45"/>
      <c r="AA212" s="45"/>
      <c r="AB212" s="45"/>
      <c r="AC212" s="45"/>
      <c r="AD212" s="45"/>
      <c r="AE212" s="45"/>
      <c r="AF212" s="45"/>
      <c r="AG212" s="45"/>
      <c r="AH212" s="45"/>
      <c r="AI212" s="45"/>
      <c r="AJ212" s="45"/>
      <c r="AK212" s="45"/>
      <c r="AL212" s="45"/>
      <c r="AM212" s="45"/>
      <c r="AN212" s="45"/>
      <c r="AO212" s="45"/>
      <c r="AP212" s="45"/>
      <c r="AQ212" s="45"/>
      <c r="AR212" s="45"/>
      <c r="AS212" s="45"/>
      <c r="AT212" s="45"/>
      <c r="AU212" s="45"/>
      <c r="AV212" s="45"/>
      <c r="AW212" s="45"/>
      <c r="AX212" s="45"/>
      <c r="AY212" s="45"/>
      <c r="AZ212" s="45"/>
      <c r="BA212" s="45"/>
      <c r="BB212" s="45"/>
      <c r="BC212" s="45"/>
      <c r="BD212" s="45"/>
      <c r="BE212" s="45"/>
      <c r="BF212" s="45"/>
      <c r="BG212" s="45"/>
      <c r="BH212" s="45"/>
      <c r="BI212" s="45"/>
      <c r="BJ212" s="45"/>
      <c r="BK212" s="45"/>
      <c r="BL212" s="45"/>
      <c r="BM212" s="45"/>
      <c r="BN212" s="45"/>
      <c r="BO212" s="45"/>
      <c r="BP212" s="45"/>
      <c r="BQ212" s="45"/>
      <c r="BR212" s="45"/>
      <c r="BS212" s="45"/>
      <c r="BT212" s="45"/>
    </row>
    <row r="213" spans="2:72" s="97" customFormat="1" x14ac:dyDescent="0.25">
      <c r="B213" s="98"/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45"/>
      <c r="W213" s="45"/>
      <c r="X213" s="45"/>
      <c r="Y213" s="45"/>
      <c r="Z213" s="45"/>
      <c r="AA213" s="45"/>
      <c r="AB213" s="45"/>
      <c r="AC213" s="45"/>
      <c r="AD213" s="45"/>
      <c r="AE213" s="45"/>
      <c r="AF213" s="45"/>
      <c r="AG213" s="45"/>
      <c r="AH213" s="45"/>
      <c r="AI213" s="45"/>
      <c r="AJ213" s="45"/>
      <c r="AK213" s="45"/>
      <c r="AL213" s="45"/>
      <c r="AM213" s="45"/>
      <c r="AN213" s="45"/>
      <c r="AO213" s="45"/>
      <c r="AP213" s="45"/>
      <c r="AQ213" s="45"/>
      <c r="AR213" s="45"/>
      <c r="AS213" s="45"/>
      <c r="AT213" s="45"/>
      <c r="AU213" s="45"/>
      <c r="AV213" s="45"/>
      <c r="AW213" s="45"/>
      <c r="AX213" s="45"/>
      <c r="AY213" s="45"/>
      <c r="AZ213" s="45"/>
      <c r="BA213" s="45"/>
      <c r="BB213" s="45"/>
      <c r="BC213" s="45"/>
      <c r="BD213" s="45"/>
      <c r="BE213" s="45"/>
      <c r="BF213" s="45"/>
      <c r="BG213" s="45"/>
      <c r="BH213" s="45"/>
      <c r="BI213" s="45"/>
      <c r="BJ213" s="45"/>
      <c r="BK213" s="45"/>
      <c r="BL213" s="45"/>
      <c r="BM213" s="45"/>
      <c r="BN213" s="45"/>
      <c r="BO213" s="45"/>
      <c r="BP213" s="45"/>
      <c r="BQ213" s="45"/>
      <c r="BR213" s="45"/>
      <c r="BS213" s="45"/>
      <c r="BT213" s="45"/>
    </row>
    <row r="214" spans="2:72" s="97" customFormat="1" x14ac:dyDescent="0.25">
      <c r="B214" s="98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45"/>
      <c r="W214" s="45"/>
      <c r="X214" s="45"/>
      <c r="Y214" s="45"/>
      <c r="Z214" s="45"/>
      <c r="AA214" s="45"/>
      <c r="AB214" s="45"/>
      <c r="AC214" s="45"/>
      <c r="AD214" s="45"/>
      <c r="AE214" s="45"/>
      <c r="AF214" s="45"/>
      <c r="AG214" s="45"/>
      <c r="AH214" s="45"/>
      <c r="AI214" s="45"/>
      <c r="AJ214" s="45"/>
      <c r="AK214" s="45"/>
      <c r="AL214" s="45"/>
      <c r="AM214" s="45"/>
      <c r="AN214" s="45"/>
      <c r="AO214" s="45"/>
      <c r="AP214" s="45"/>
      <c r="AQ214" s="45"/>
      <c r="AR214" s="45"/>
      <c r="AS214" s="45"/>
      <c r="AT214" s="45"/>
      <c r="AU214" s="45"/>
      <c r="AV214" s="45"/>
      <c r="AW214" s="45"/>
      <c r="AX214" s="45"/>
      <c r="AY214" s="45"/>
      <c r="AZ214" s="45"/>
      <c r="BA214" s="45"/>
      <c r="BB214" s="45"/>
      <c r="BC214" s="45"/>
      <c r="BD214" s="45"/>
      <c r="BE214" s="45"/>
      <c r="BF214" s="45"/>
      <c r="BG214" s="45"/>
      <c r="BH214" s="45"/>
      <c r="BI214" s="45"/>
      <c r="BJ214" s="45"/>
      <c r="BK214" s="45"/>
      <c r="BL214" s="45"/>
      <c r="BM214" s="45"/>
      <c r="BN214" s="45"/>
      <c r="BO214" s="45"/>
      <c r="BP214" s="45"/>
      <c r="BQ214" s="45"/>
      <c r="BR214" s="45"/>
      <c r="BS214" s="45"/>
      <c r="BT214" s="45"/>
    </row>
    <row r="215" spans="2:72" s="97" customFormat="1" x14ac:dyDescent="0.25">
      <c r="B215" s="98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45"/>
      <c r="W215" s="45"/>
      <c r="X215" s="45"/>
      <c r="Y215" s="45"/>
      <c r="Z215" s="45"/>
      <c r="AA215" s="45"/>
      <c r="AB215" s="45"/>
      <c r="AC215" s="45"/>
      <c r="AD215" s="45"/>
      <c r="AE215" s="45"/>
      <c r="AF215" s="45"/>
      <c r="AG215" s="45"/>
      <c r="AH215" s="45"/>
      <c r="AI215" s="45"/>
      <c r="AJ215" s="45"/>
      <c r="AK215" s="45"/>
      <c r="AL215" s="45"/>
      <c r="AM215" s="45"/>
      <c r="AN215" s="45"/>
      <c r="AO215" s="45"/>
      <c r="AP215" s="45"/>
      <c r="AQ215" s="45"/>
      <c r="AR215" s="45"/>
      <c r="AS215" s="45"/>
      <c r="AT215" s="45"/>
      <c r="AU215" s="45"/>
      <c r="AV215" s="45"/>
      <c r="AW215" s="45"/>
      <c r="AX215" s="45"/>
      <c r="AY215" s="45"/>
      <c r="AZ215" s="45"/>
      <c r="BA215" s="45"/>
      <c r="BB215" s="45"/>
      <c r="BC215" s="45"/>
      <c r="BD215" s="45"/>
      <c r="BE215" s="45"/>
      <c r="BF215" s="45"/>
      <c r="BG215" s="45"/>
      <c r="BH215" s="45"/>
      <c r="BI215" s="45"/>
      <c r="BJ215" s="45"/>
      <c r="BK215" s="45"/>
      <c r="BL215" s="45"/>
      <c r="BM215" s="45"/>
      <c r="BN215" s="45"/>
      <c r="BO215" s="45"/>
      <c r="BP215" s="45"/>
      <c r="BQ215" s="45"/>
      <c r="BR215" s="45"/>
      <c r="BS215" s="45"/>
      <c r="BT215" s="45"/>
    </row>
    <row r="216" spans="2:72" s="97" customFormat="1" x14ac:dyDescent="0.25">
      <c r="B216" s="98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  <c r="X216" s="45"/>
      <c r="Y216" s="45"/>
      <c r="Z216" s="45"/>
      <c r="AA216" s="45"/>
      <c r="AB216" s="45"/>
      <c r="AC216" s="45"/>
      <c r="AD216" s="45"/>
      <c r="AE216" s="45"/>
      <c r="AF216" s="45"/>
      <c r="AG216" s="45"/>
      <c r="AH216" s="45"/>
      <c r="AI216" s="45"/>
      <c r="AJ216" s="45"/>
      <c r="AK216" s="45"/>
      <c r="AL216" s="45"/>
      <c r="AM216" s="45"/>
      <c r="AN216" s="45"/>
      <c r="AO216" s="45"/>
      <c r="AP216" s="45"/>
      <c r="AQ216" s="45"/>
      <c r="AR216" s="45"/>
      <c r="AS216" s="45"/>
      <c r="AT216" s="45"/>
      <c r="AU216" s="45"/>
      <c r="AV216" s="45"/>
      <c r="AW216" s="45"/>
      <c r="AX216" s="45"/>
      <c r="AY216" s="45"/>
      <c r="AZ216" s="45"/>
      <c r="BA216" s="45"/>
      <c r="BB216" s="45"/>
      <c r="BC216" s="45"/>
      <c r="BD216" s="45"/>
      <c r="BE216" s="45"/>
      <c r="BF216" s="45"/>
      <c r="BG216" s="45"/>
      <c r="BH216" s="45"/>
      <c r="BI216" s="45"/>
      <c r="BJ216" s="45"/>
      <c r="BK216" s="45"/>
      <c r="BL216" s="45"/>
      <c r="BM216" s="45"/>
      <c r="BN216" s="45"/>
      <c r="BO216" s="45"/>
      <c r="BP216" s="45"/>
      <c r="BQ216" s="45"/>
      <c r="BR216" s="45"/>
      <c r="BS216" s="45"/>
      <c r="BT216" s="45"/>
    </row>
    <row r="217" spans="2:72" s="97" customFormat="1" x14ac:dyDescent="0.25">
      <c r="B217" s="98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5"/>
      <c r="W217" s="45"/>
      <c r="X217" s="45"/>
      <c r="Y217" s="45"/>
      <c r="Z217" s="45"/>
      <c r="AA217" s="45"/>
      <c r="AB217" s="45"/>
      <c r="AC217" s="45"/>
      <c r="AD217" s="45"/>
      <c r="AE217" s="45"/>
      <c r="AF217" s="45"/>
      <c r="AG217" s="45"/>
      <c r="AH217" s="45"/>
      <c r="AI217" s="45"/>
      <c r="AJ217" s="45"/>
      <c r="AK217" s="45"/>
      <c r="AL217" s="45"/>
      <c r="AM217" s="45"/>
      <c r="AN217" s="45"/>
      <c r="AO217" s="45"/>
      <c r="AP217" s="45"/>
      <c r="AQ217" s="45"/>
      <c r="AR217" s="45"/>
      <c r="AS217" s="45"/>
      <c r="AT217" s="45"/>
      <c r="AU217" s="45"/>
      <c r="AV217" s="45"/>
      <c r="AW217" s="45"/>
      <c r="AX217" s="45"/>
      <c r="AY217" s="45"/>
      <c r="AZ217" s="45"/>
      <c r="BA217" s="45"/>
      <c r="BB217" s="45"/>
      <c r="BC217" s="45"/>
      <c r="BD217" s="45"/>
      <c r="BE217" s="45"/>
      <c r="BF217" s="45"/>
      <c r="BG217" s="45"/>
      <c r="BH217" s="45"/>
      <c r="BI217" s="45"/>
      <c r="BJ217" s="45"/>
      <c r="BK217" s="45"/>
      <c r="BL217" s="45"/>
      <c r="BM217" s="45"/>
      <c r="BN217" s="45"/>
      <c r="BO217" s="45"/>
      <c r="BP217" s="45"/>
      <c r="BQ217" s="45"/>
      <c r="BR217" s="45"/>
      <c r="BS217" s="45"/>
      <c r="BT217" s="45"/>
    </row>
    <row r="218" spans="2:72" s="97" customFormat="1" x14ac:dyDescent="0.25">
      <c r="B218" s="98"/>
      <c r="C218" s="45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45"/>
      <c r="W218" s="45"/>
      <c r="X218" s="45"/>
      <c r="Y218" s="45"/>
      <c r="Z218" s="45"/>
      <c r="AA218" s="45"/>
      <c r="AB218" s="45"/>
      <c r="AC218" s="45"/>
      <c r="AD218" s="45"/>
      <c r="AE218" s="45"/>
      <c r="AF218" s="45"/>
      <c r="AG218" s="45"/>
      <c r="AH218" s="45"/>
      <c r="AI218" s="45"/>
      <c r="AJ218" s="45"/>
      <c r="AK218" s="45"/>
      <c r="AL218" s="45"/>
      <c r="AM218" s="45"/>
      <c r="AN218" s="45"/>
      <c r="AO218" s="45"/>
      <c r="AP218" s="45"/>
      <c r="AQ218" s="45"/>
      <c r="AR218" s="45"/>
      <c r="AS218" s="45"/>
      <c r="AT218" s="45"/>
      <c r="AU218" s="45"/>
      <c r="AV218" s="45"/>
      <c r="AW218" s="45"/>
      <c r="AX218" s="45"/>
      <c r="AY218" s="45"/>
      <c r="AZ218" s="45"/>
      <c r="BA218" s="45"/>
      <c r="BB218" s="45"/>
      <c r="BC218" s="45"/>
      <c r="BD218" s="45"/>
      <c r="BE218" s="45"/>
      <c r="BF218" s="45"/>
      <c r="BG218" s="45"/>
      <c r="BH218" s="45"/>
      <c r="BI218" s="45"/>
      <c r="BJ218" s="45"/>
      <c r="BK218" s="45"/>
      <c r="BL218" s="45"/>
      <c r="BM218" s="45"/>
      <c r="BN218" s="45"/>
      <c r="BO218" s="45"/>
      <c r="BP218" s="45"/>
      <c r="BQ218" s="45"/>
      <c r="BR218" s="45"/>
      <c r="BS218" s="45"/>
      <c r="BT218" s="45"/>
    </row>
    <row r="219" spans="2:72" s="97" customFormat="1" x14ac:dyDescent="0.25">
      <c r="B219" s="98"/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45"/>
      <c r="W219" s="45"/>
      <c r="X219" s="45"/>
      <c r="Y219" s="45"/>
      <c r="Z219" s="45"/>
      <c r="AA219" s="45"/>
      <c r="AB219" s="45"/>
      <c r="AC219" s="45"/>
      <c r="AD219" s="45"/>
      <c r="AE219" s="45"/>
      <c r="AF219" s="45"/>
      <c r="AG219" s="45"/>
      <c r="AH219" s="45"/>
      <c r="AI219" s="45"/>
      <c r="AJ219" s="45"/>
      <c r="AK219" s="45"/>
      <c r="AL219" s="45"/>
      <c r="AM219" s="45"/>
      <c r="AN219" s="45"/>
      <c r="AO219" s="45"/>
      <c r="AP219" s="45"/>
      <c r="AQ219" s="45"/>
      <c r="AR219" s="45"/>
      <c r="AS219" s="45"/>
      <c r="AT219" s="45"/>
      <c r="AU219" s="45"/>
      <c r="AV219" s="45"/>
      <c r="AW219" s="45"/>
      <c r="AX219" s="45"/>
      <c r="AY219" s="45"/>
      <c r="AZ219" s="45"/>
      <c r="BA219" s="45"/>
      <c r="BB219" s="45"/>
      <c r="BC219" s="45"/>
      <c r="BD219" s="45"/>
      <c r="BE219" s="45"/>
      <c r="BF219" s="45"/>
      <c r="BG219" s="45"/>
      <c r="BH219" s="45"/>
      <c r="BI219" s="45"/>
      <c r="BJ219" s="45"/>
      <c r="BK219" s="45"/>
      <c r="BL219" s="45"/>
      <c r="BM219" s="45"/>
      <c r="BN219" s="45"/>
      <c r="BO219" s="45"/>
      <c r="BP219" s="45"/>
      <c r="BQ219" s="45"/>
      <c r="BR219" s="45"/>
      <c r="BS219" s="45"/>
      <c r="BT219" s="45"/>
    </row>
    <row r="220" spans="2:72" s="97" customFormat="1" x14ac:dyDescent="0.25">
      <c r="B220" s="98"/>
      <c r="C220" s="45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  <c r="O220" s="45"/>
      <c r="P220" s="45"/>
      <c r="Q220" s="45"/>
      <c r="R220" s="45"/>
      <c r="S220" s="45"/>
      <c r="T220" s="45"/>
      <c r="U220" s="45"/>
      <c r="V220" s="45"/>
      <c r="W220" s="45"/>
      <c r="X220" s="45"/>
      <c r="Y220" s="45"/>
      <c r="Z220" s="45"/>
      <c r="AA220" s="45"/>
      <c r="AB220" s="45"/>
      <c r="AC220" s="45"/>
      <c r="AD220" s="45"/>
      <c r="AE220" s="45"/>
      <c r="AF220" s="45"/>
      <c r="AG220" s="45"/>
      <c r="AH220" s="45"/>
      <c r="AI220" s="45"/>
      <c r="AJ220" s="45"/>
      <c r="AK220" s="45"/>
      <c r="AL220" s="45"/>
      <c r="AM220" s="45"/>
      <c r="AN220" s="45"/>
      <c r="AO220" s="45"/>
      <c r="AP220" s="45"/>
      <c r="AQ220" s="45"/>
      <c r="AR220" s="45"/>
      <c r="AS220" s="45"/>
      <c r="AT220" s="45"/>
      <c r="AU220" s="45"/>
      <c r="AV220" s="45"/>
      <c r="AW220" s="45"/>
      <c r="AX220" s="45"/>
      <c r="AY220" s="45"/>
      <c r="AZ220" s="45"/>
      <c r="BA220" s="45"/>
      <c r="BB220" s="45"/>
      <c r="BC220" s="45"/>
      <c r="BD220" s="45"/>
      <c r="BE220" s="45"/>
      <c r="BF220" s="45"/>
      <c r="BG220" s="45"/>
      <c r="BH220" s="45"/>
      <c r="BI220" s="45"/>
      <c r="BJ220" s="45"/>
      <c r="BK220" s="45"/>
      <c r="BL220" s="45"/>
      <c r="BM220" s="45"/>
      <c r="BN220" s="45"/>
      <c r="BO220" s="45"/>
      <c r="BP220" s="45"/>
      <c r="BQ220" s="45"/>
      <c r="BR220" s="45"/>
      <c r="BS220" s="45"/>
      <c r="BT220" s="45"/>
    </row>
    <row r="221" spans="2:72" s="97" customFormat="1" x14ac:dyDescent="0.25">
      <c r="B221" s="98"/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45"/>
      <c r="W221" s="45"/>
      <c r="X221" s="45"/>
      <c r="Y221" s="45"/>
      <c r="Z221" s="45"/>
      <c r="AA221" s="45"/>
      <c r="AB221" s="45"/>
      <c r="AC221" s="45"/>
      <c r="AD221" s="45"/>
      <c r="AE221" s="45"/>
      <c r="AF221" s="45"/>
      <c r="AG221" s="45"/>
      <c r="AH221" s="45"/>
      <c r="AI221" s="45"/>
      <c r="AJ221" s="45"/>
      <c r="AK221" s="45"/>
      <c r="AL221" s="45"/>
      <c r="AM221" s="45"/>
      <c r="AN221" s="45"/>
      <c r="AO221" s="45"/>
      <c r="AP221" s="45"/>
      <c r="AQ221" s="45"/>
      <c r="AR221" s="45"/>
      <c r="AS221" s="45"/>
      <c r="AT221" s="45"/>
      <c r="AU221" s="45"/>
      <c r="AV221" s="45"/>
      <c r="AW221" s="45"/>
      <c r="AX221" s="45"/>
      <c r="AY221" s="45"/>
      <c r="AZ221" s="45"/>
      <c r="BA221" s="45"/>
      <c r="BB221" s="45"/>
      <c r="BC221" s="45"/>
      <c r="BD221" s="45"/>
      <c r="BE221" s="45"/>
      <c r="BF221" s="45"/>
      <c r="BG221" s="45"/>
      <c r="BH221" s="45"/>
      <c r="BI221" s="45"/>
      <c r="BJ221" s="45"/>
      <c r="BK221" s="45"/>
      <c r="BL221" s="45"/>
      <c r="BM221" s="45"/>
      <c r="BN221" s="45"/>
      <c r="BO221" s="45"/>
      <c r="BP221" s="45"/>
      <c r="BQ221" s="45"/>
      <c r="BR221" s="45"/>
      <c r="BS221" s="45"/>
      <c r="BT221" s="45"/>
    </row>
    <row r="222" spans="2:72" s="97" customFormat="1" x14ac:dyDescent="0.25">
      <c r="B222" s="98"/>
      <c r="C222" s="45"/>
      <c r="D222" s="45"/>
      <c r="E222" s="45"/>
      <c r="F222" s="45"/>
      <c r="G222" s="45"/>
      <c r="H222" s="45"/>
      <c r="I222" s="45"/>
      <c r="J222" s="45"/>
      <c r="K222" s="45"/>
      <c r="L222" s="45"/>
      <c r="M222" s="45"/>
      <c r="N222" s="45"/>
      <c r="O222" s="45"/>
      <c r="P222" s="45"/>
      <c r="Q222" s="45"/>
      <c r="R222" s="45"/>
      <c r="S222" s="45"/>
      <c r="T222" s="45"/>
      <c r="U222" s="45"/>
      <c r="V222" s="45"/>
      <c r="W222" s="45"/>
      <c r="X222" s="45"/>
      <c r="Y222" s="45"/>
      <c r="Z222" s="45"/>
      <c r="AA222" s="45"/>
      <c r="AB222" s="45"/>
      <c r="AC222" s="45"/>
      <c r="AD222" s="45"/>
      <c r="AE222" s="45"/>
      <c r="AF222" s="45"/>
      <c r="AG222" s="45"/>
      <c r="AH222" s="45"/>
      <c r="AI222" s="45"/>
      <c r="AJ222" s="45"/>
      <c r="AK222" s="45"/>
      <c r="AL222" s="45"/>
      <c r="AM222" s="45"/>
      <c r="AN222" s="45"/>
      <c r="AO222" s="45"/>
      <c r="AP222" s="45"/>
      <c r="AQ222" s="45"/>
      <c r="AR222" s="45"/>
      <c r="AS222" s="45"/>
      <c r="AT222" s="45"/>
      <c r="AU222" s="45"/>
      <c r="AV222" s="45"/>
      <c r="AW222" s="45"/>
      <c r="AX222" s="45"/>
      <c r="AY222" s="45"/>
      <c r="AZ222" s="45"/>
      <c r="BA222" s="45"/>
      <c r="BB222" s="45"/>
      <c r="BC222" s="45"/>
      <c r="BD222" s="45"/>
      <c r="BE222" s="45"/>
      <c r="BF222" s="45"/>
      <c r="BG222" s="45"/>
      <c r="BH222" s="45"/>
      <c r="BI222" s="45"/>
      <c r="BJ222" s="45"/>
      <c r="BK222" s="45"/>
      <c r="BL222" s="45"/>
      <c r="BM222" s="45"/>
      <c r="BN222" s="45"/>
      <c r="BO222" s="45"/>
      <c r="BP222" s="45"/>
      <c r="BQ222" s="45"/>
      <c r="BR222" s="45"/>
      <c r="BS222" s="45"/>
      <c r="BT222" s="45"/>
    </row>
    <row r="223" spans="2:72" s="97" customFormat="1" x14ac:dyDescent="0.25">
      <c r="B223" s="98"/>
      <c r="C223" s="45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  <c r="O223" s="45"/>
      <c r="P223" s="45"/>
      <c r="Q223" s="45"/>
      <c r="R223" s="45"/>
      <c r="S223" s="45"/>
      <c r="T223" s="45"/>
      <c r="U223" s="45"/>
      <c r="V223" s="45"/>
      <c r="W223" s="45"/>
      <c r="X223" s="45"/>
      <c r="Y223" s="45"/>
      <c r="Z223" s="45"/>
      <c r="AA223" s="45"/>
      <c r="AB223" s="45"/>
      <c r="AC223" s="45"/>
      <c r="AD223" s="45"/>
      <c r="AE223" s="45"/>
      <c r="AF223" s="45"/>
      <c r="AG223" s="45"/>
      <c r="AH223" s="45"/>
      <c r="AI223" s="45"/>
      <c r="AJ223" s="45"/>
      <c r="AK223" s="45"/>
      <c r="AL223" s="45"/>
      <c r="AM223" s="45"/>
      <c r="AN223" s="45"/>
      <c r="AO223" s="45"/>
      <c r="AP223" s="45"/>
      <c r="AQ223" s="45"/>
      <c r="AR223" s="45"/>
      <c r="AS223" s="45"/>
      <c r="AT223" s="45"/>
      <c r="AU223" s="45"/>
      <c r="AV223" s="45"/>
      <c r="AW223" s="45"/>
      <c r="AX223" s="45"/>
      <c r="AY223" s="45"/>
      <c r="AZ223" s="45"/>
      <c r="BA223" s="45"/>
      <c r="BB223" s="45"/>
      <c r="BC223" s="45"/>
      <c r="BD223" s="45"/>
      <c r="BE223" s="45"/>
      <c r="BF223" s="45"/>
      <c r="BG223" s="45"/>
      <c r="BH223" s="45"/>
      <c r="BI223" s="45"/>
      <c r="BJ223" s="45"/>
      <c r="BK223" s="45"/>
      <c r="BL223" s="45"/>
      <c r="BM223" s="45"/>
      <c r="BN223" s="45"/>
      <c r="BO223" s="45"/>
      <c r="BP223" s="45"/>
      <c r="BQ223" s="45"/>
      <c r="BR223" s="45"/>
      <c r="BS223" s="45"/>
      <c r="BT223" s="45"/>
    </row>
    <row r="224" spans="2:72" s="97" customFormat="1" x14ac:dyDescent="0.25">
      <c r="B224" s="98"/>
      <c r="C224" s="45"/>
      <c r="D224" s="45"/>
      <c r="E224" s="45"/>
      <c r="F224" s="45"/>
      <c r="G224" s="45"/>
      <c r="H224" s="45"/>
      <c r="I224" s="45"/>
      <c r="J224" s="45"/>
      <c r="K224" s="45"/>
      <c r="L224" s="45"/>
      <c r="M224" s="45"/>
      <c r="N224" s="45"/>
      <c r="O224" s="45"/>
      <c r="P224" s="45"/>
      <c r="Q224" s="45"/>
      <c r="R224" s="45"/>
      <c r="S224" s="45"/>
      <c r="T224" s="45"/>
      <c r="U224" s="45"/>
      <c r="V224" s="45"/>
      <c r="W224" s="45"/>
      <c r="X224" s="45"/>
      <c r="Y224" s="45"/>
      <c r="Z224" s="45"/>
      <c r="AA224" s="45"/>
      <c r="AB224" s="45"/>
      <c r="AC224" s="45"/>
      <c r="AD224" s="45"/>
      <c r="AE224" s="45"/>
      <c r="AF224" s="45"/>
      <c r="AG224" s="45"/>
      <c r="AH224" s="45"/>
      <c r="AI224" s="45"/>
      <c r="AJ224" s="45"/>
      <c r="AK224" s="45"/>
      <c r="AL224" s="45"/>
      <c r="AM224" s="45"/>
      <c r="AN224" s="45"/>
      <c r="AO224" s="45"/>
      <c r="AP224" s="45"/>
      <c r="AQ224" s="45"/>
      <c r="AR224" s="45"/>
      <c r="AS224" s="45"/>
      <c r="AT224" s="45"/>
      <c r="AU224" s="45"/>
      <c r="AV224" s="45"/>
      <c r="AW224" s="45"/>
      <c r="AX224" s="45"/>
      <c r="AY224" s="45"/>
      <c r="AZ224" s="45"/>
      <c r="BA224" s="45"/>
      <c r="BB224" s="45"/>
      <c r="BC224" s="45"/>
      <c r="BD224" s="45"/>
      <c r="BE224" s="45"/>
      <c r="BF224" s="45"/>
      <c r="BG224" s="45"/>
      <c r="BH224" s="45"/>
      <c r="BI224" s="45"/>
      <c r="BJ224" s="45"/>
      <c r="BK224" s="45"/>
      <c r="BL224" s="45"/>
      <c r="BM224" s="45"/>
      <c r="BN224" s="45"/>
      <c r="BO224" s="45"/>
      <c r="BP224" s="45"/>
      <c r="BQ224" s="45"/>
      <c r="BR224" s="45"/>
      <c r="BS224" s="45"/>
      <c r="BT224" s="45"/>
    </row>
    <row r="225" spans="2:72" s="97" customFormat="1" x14ac:dyDescent="0.25">
      <c r="B225" s="98"/>
      <c r="C225" s="45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N225" s="45"/>
      <c r="O225" s="45"/>
      <c r="P225" s="45"/>
      <c r="Q225" s="45"/>
      <c r="R225" s="45"/>
      <c r="S225" s="45"/>
      <c r="T225" s="45"/>
      <c r="U225" s="45"/>
      <c r="V225" s="45"/>
      <c r="W225" s="45"/>
      <c r="X225" s="45"/>
      <c r="Y225" s="45"/>
      <c r="Z225" s="45"/>
      <c r="AA225" s="45"/>
      <c r="AB225" s="45"/>
      <c r="AC225" s="45"/>
      <c r="AD225" s="45"/>
      <c r="AE225" s="45"/>
      <c r="AF225" s="45"/>
      <c r="AG225" s="45"/>
      <c r="AH225" s="45"/>
      <c r="AI225" s="45"/>
      <c r="AJ225" s="45"/>
      <c r="AK225" s="45"/>
      <c r="AL225" s="45"/>
      <c r="AM225" s="45"/>
      <c r="AN225" s="45"/>
      <c r="AO225" s="45"/>
      <c r="AP225" s="45"/>
      <c r="AQ225" s="45"/>
      <c r="AR225" s="45"/>
      <c r="AS225" s="45"/>
      <c r="AT225" s="45"/>
      <c r="AU225" s="45"/>
      <c r="AV225" s="45"/>
      <c r="AW225" s="45"/>
      <c r="AX225" s="45"/>
      <c r="AY225" s="45"/>
      <c r="AZ225" s="45"/>
      <c r="BA225" s="45"/>
      <c r="BB225" s="45"/>
      <c r="BC225" s="45"/>
      <c r="BD225" s="45"/>
      <c r="BE225" s="45"/>
      <c r="BF225" s="45"/>
      <c r="BG225" s="45"/>
      <c r="BH225" s="45"/>
      <c r="BI225" s="45"/>
      <c r="BJ225" s="45"/>
      <c r="BK225" s="45"/>
      <c r="BL225" s="45"/>
      <c r="BM225" s="45"/>
      <c r="BN225" s="45"/>
      <c r="BO225" s="45"/>
      <c r="BP225" s="45"/>
      <c r="BQ225" s="45"/>
      <c r="BR225" s="45"/>
      <c r="BS225" s="45"/>
      <c r="BT225" s="45"/>
    </row>
    <row r="226" spans="2:72" s="97" customFormat="1" x14ac:dyDescent="0.25">
      <c r="B226" s="98"/>
      <c r="C226" s="45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45"/>
      <c r="S226" s="45"/>
      <c r="T226" s="45"/>
      <c r="U226" s="45"/>
      <c r="V226" s="45"/>
      <c r="W226" s="45"/>
      <c r="X226" s="45"/>
      <c r="Y226" s="45"/>
      <c r="Z226" s="45"/>
      <c r="AA226" s="45"/>
      <c r="AB226" s="45"/>
      <c r="AC226" s="45"/>
      <c r="AD226" s="45"/>
      <c r="AE226" s="45"/>
      <c r="AF226" s="45"/>
      <c r="AG226" s="45"/>
      <c r="AH226" s="45"/>
      <c r="AI226" s="45"/>
      <c r="AJ226" s="45"/>
      <c r="AK226" s="45"/>
      <c r="AL226" s="45"/>
      <c r="AM226" s="45"/>
      <c r="AN226" s="45"/>
      <c r="AO226" s="45"/>
      <c r="AP226" s="45"/>
      <c r="AQ226" s="45"/>
      <c r="AR226" s="45"/>
      <c r="AS226" s="45"/>
      <c r="AT226" s="45"/>
      <c r="AU226" s="45"/>
      <c r="AV226" s="45"/>
      <c r="AW226" s="45"/>
      <c r="AX226" s="45"/>
      <c r="AY226" s="45"/>
      <c r="AZ226" s="45"/>
      <c r="BA226" s="45"/>
      <c r="BB226" s="45"/>
      <c r="BC226" s="45"/>
      <c r="BD226" s="45"/>
      <c r="BE226" s="45"/>
      <c r="BF226" s="45"/>
      <c r="BG226" s="45"/>
      <c r="BH226" s="45"/>
      <c r="BI226" s="45"/>
      <c r="BJ226" s="45"/>
      <c r="BK226" s="45"/>
      <c r="BL226" s="45"/>
      <c r="BM226" s="45"/>
      <c r="BN226" s="45"/>
      <c r="BO226" s="45"/>
      <c r="BP226" s="45"/>
      <c r="BQ226" s="45"/>
      <c r="BR226" s="45"/>
      <c r="BS226" s="45"/>
      <c r="BT226" s="45"/>
    </row>
    <row r="227" spans="2:72" s="97" customFormat="1" x14ac:dyDescent="0.25">
      <c r="B227" s="98"/>
      <c r="C227" s="45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45"/>
      <c r="R227" s="45"/>
      <c r="S227" s="45"/>
      <c r="T227" s="45"/>
      <c r="U227" s="45"/>
      <c r="V227" s="45"/>
      <c r="W227" s="45"/>
      <c r="X227" s="45"/>
      <c r="Y227" s="45"/>
      <c r="Z227" s="45"/>
      <c r="AA227" s="45"/>
      <c r="AB227" s="45"/>
      <c r="AC227" s="45"/>
      <c r="AD227" s="45"/>
      <c r="AE227" s="45"/>
      <c r="AF227" s="45"/>
      <c r="AG227" s="45"/>
      <c r="AH227" s="45"/>
      <c r="AI227" s="45"/>
      <c r="AJ227" s="45"/>
      <c r="AK227" s="45"/>
      <c r="AL227" s="45"/>
      <c r="AM227" s="45"/>
      <c r="AN227" s="45"/>
      <c r="AO227" s="45"/>
      <c r="AP227" s="45"/>
      <c r="AQ227" s="45"/>
      <c r="AR227" s="45"/>
      <c r="AS227" s="45"/>
      <c r="AT227" s="45"/>
      <c r="AU227" s="45"/>
      <c r="AV227" s="45"/>
      <c r="AW227" s="45"/>
      <c r="AX227" s="45"/>
      <c r="AY227" s="45"/>
      <c r="AZ227" s="45"/>
      <c r="BA227" s="45"/>
      <c r="BB227" s="45"/>
      <c r="BC227" s="45"/>
      <c r="BD227" s="45"/>
      <c r="BE227" s="45"/>
      <c r="BF227" s="45"/>
      <c r="BG227" s="45"/>
      <c r="BH227" s="45"/>
      <c r="BI227" s="45"/>
      <c r="BJ227" s="45"/>
      <c r="BK227" s="45"/>
      <c r="BL227" s="45"/>
      <c r="BM227" s="45"/>
      <c r="BN227" s="45"/>
      <c r="BO227" s="45"/>
      <c r="BP227" s="45"/>
      <c r="BQ227" s="45"/>
      <c r="BR227" s="45"/>
      <c r="BS227" s="45"/>
      <c r="BT227" s="45"/>
    </row>
    <row r="228" spans="2:72" s="97" customFormat="1" x14ac:dyDescent="0.25">
      <c r="B228" s="98"/>
      <c r="C228" s="45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  <c r="O228" s="45"/>
      <c r="P228" s="45"/>
      <c r="Q228" s="45"/>
      <c r="R228" s="45"/>
      <c r="S228" s="45"/>
      <c r="T228" s="45"/>
      <c r="U228" s="45"/>
      <c r="V228" s="45"/>
      <c r="W228" s="45"/>
      <c r="X228" s="45"/>
      <c r="Y228" s="45"/>
      <c r="Z228" s="45"/>
      <c r="AA228" s="45"/>
      <c r="AB228" s="45"/>
      <c r="AC228" s="45"/>
      <c r="AD228" s="45"/>
      <c r="AE228" s="45"/>
      <c r="AF228" s="45"/>
      <c r="AG228" s="45"/>
      <c r="AH228" s="45"/>
      <c r="AI228" s="45"/>
      <c r="AJ228" s="45"/>
      <c r="AK228" s="45"/>
      <c r="AL228" s="45"/>
      <c r="AM228" s="45"/>
      <c r="AN228" s="45"/>
      <c r="AO228" s="45"/>
      <c r="AP228" s="45"/>
      <c r="AQ228" s="45"/>
      <c r="AR228" s="45"/>
      <c r="AS228" s="45"/>
      <c r="AT228" s="45"/>
      <c r="AU228" s="45"/>
      <c r="AV228" s="45"/>
      <c r="AW228" s="45"/>
      <c r="AX228" s="45"/>
      <c r="AY228" s="45"/>
      <c r="AZ228" s="45"/>
      <c r="BA228" s="45"/>
      <c r="BB228" s="45"/>
      <c r="BC228" s="45"/>
      <c r="BD228" s="45"/>
      <c r="BE228" s="45"/>
      <c r="BF228" s="45"/>
      <c r="BG228" s="45"/>
      <c r="BH228" s="45"/>
      <c r="BI228" s="45"/>
      <c r="BJ228" s="45"/>
      <c r="BK228" s="45"/>
      <c r="BL228" s="45"/>
      <c r="BM228" s="45"/>
      <c r="BN228" s="45"/>
      <c r="BO228" s="45"/>
      <c r="BP228" s="45"/>
      <c r="BQ228" s="45"/>
      <c r="BR228" s="45"/>
      <c r="BS228" s="45"/>
      <c r="BT228" s="45"/>
    </row>
    <row r="229" spans="2:72" s="97" customFormat="1" x14ac:dyDescent="0.25">
      <c r="B229" s="98"/>
      <c r="C229" s="45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N229" s="45"/>
      <c r="O229" s="45"/>
      <c r="P229" s="45"/>
      <c r="Q229" s="45"/>
      <c r="R229" s="45"/>
      <c r="S229" s="45"/>
      <c r="T229" s="45"/>
      <c r="U229" s="45"/>
      <c r="V229" s="45"/>
      <c r="W229" s="45"/>
      <c r="X229" s="45"/>
      <c r="Y229" s="45"/>
      <c r="Z229" s="45"/>
      <c r="AA229" s="45"/>
      <c r="AB229" s="45"/>
      <c r="AC229" s="45"/>
      <c r="AD229" s="45"/>
      <c r="AE229" s="45"/>
      <c r="AF229" s="45"/>
      <c r="AG229" s="45"/>
      <c r="AH229" s="45"/>
      <c r="AI229" s="45"/>
      <c r="AJ229" s="45"/>
      <c r="AK229" s="45"/>
      <c r="AL229" s="45"/>
      <c r="AM229" s="45"/>
      <c r="AN229" s="45"/>
      <c r="AO229" s="45"/>
      <c r="AP229" s="45"/>
      <c r="AQ229" s="45"/>
      <c r="AR229" s="45"/>
      <c r="AS229" s="45"/>
      <c r="AT229" s="45"/>
      <c r="AU229" s="45"/>
      <c r="AV229" s="45"/>
      <c r="AW229" s="45"/>
      <c r="AX229" s="45"/>
      <c r="AY229" s="45"/>
      <c r="AZ229" s="45"/>
      <c r="BA229" s="45"/>
      <c r="BB229" s="45"/>
      <c r="BC229" s="45"/>
      <c r="BD229" s="45"/>
      <c r="BE229" s="45"/>
      <c r="BF229" s="45"/>
      <c r="BG229" s="45"/>
      <c r="BH229" s="45"/>
      <c r="BI229" s="45"/>
      <c r="BJ229" s="45"/>
      <c r="BK229" s="45"/>
      <c r="BL229" s="45"/>
      <c r="BM229" s="45"/>
      <c r="BN229" s="45"/>
      <c r="BO229" s="45"/>
      <c r="BP229" s="45"/>
      <c r="BQ229" s="45"/>
      <c r="BR229" s="45"/>
      <c r="BS229" s="45"/>
      <c r="BT229" s="45"/>
    </row>
    <row r="230" spans="2:72" s="97" customFormat="1" x14ac:dyDescent="0.25">
      <c r="B230" s="98"/>
      <c r="C230" s="45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45"/>
      <c r="O230" s="45"/>
      <c r="P230" s="45"/>
      <c r="Q230" s="45"/>
      <c r="R230" s="45"/>
      <c r="S230" s="45"/>
      <c r="T230" s="45"/>
      <c r="U230" s="45"/>
      <c r="V230" s="45"/>
      <c r="W230" s="45"/>
      <c r="X230" s="45"/>
      <c r="Y230" s="45"/>
      <c r="Z230" s="45"/>
      <c r="AA230" s="45"/>
      <c r="AB230" s="45"/>
      <c r="AC230" s="45"/>
      <c r="AD230" s="45"/>
      <c r="AE230" s="45"/>
      <c r="AF230" s="45"/>
      <c r="AG230" s="45"/>
      <c r="AH230" s="45"/>
      <c r="AI230" s="45"/>
      <c r="AJ230" s="45"/>
      <c r="AK230" s="45"/>
      <c r="AL230" s="45"/>
      <c r="AM230" s="45"/>
      <c r="AN230" s="45"/>
      <c r="AO230" s="45"/>
      <c r="AP230" s="45"/>
      <c r="AQ230" s="45"/>
      <c r="AR230" s="45"/>
      <c r="AS230" s="45"/>
      <c r="AT230" s="45"/>
      <c r="AU230" s="45"/>
      <c r="AV230" s="45"/>
      <c r="AW230" s="45"/>
      <c r="AX230" s="45"/>
      <c r="AY230" s="45"/>
      <c r="AZ230" s="45"/>
      <c r="BA230" s="45"/>
      <c r="BB230" s="45"/>
      <c r="BC230" s="45"/>
      <c r="BD230" s="45"/>
      <c r="BE230" s="45"/>
      <c r="BF230" s="45"/>
      <c r="BG230" s="45"/>
      <c r="BH230" s="45"/>
      <c r="BI230" s="45"/>
      <c r="BJ230" s="45"/>
      <c r="BK230" s="45"/>
      <c r="BL230" s="45"/>
      <c r="BM230" s="45"/>
      <c r="BN230" s="45"/>
      <c r="BO230" s="45"/>
      <c r="BP230" s="45"/>
      <c r="BQ230" s="45"/>
      <c r="BR230" s="45"/>
      <c r="BS230" s="45"/>
      <c r="BT230" s="45"/>
    </row>
    <row r="231" spans="2:72" s="97" customFormat="1" x14ac:dyDescent="0.25">
      <c r="B231" s="98"/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45"/>
      <c r="R231" s="45"/>
      <c r="S231" s="45"/>
      <c r="T231" s="45"/>
      <c r="U231" s="45"/>
      <c r="V231" s="45"/>
      <c r="W231" s="45"/>
      <c r="X231" s="45"/>
      <c r="Y231" s="45"/>
      <c r="Z231" s="45"/>
      <c r="AA231" s="45"/>
      <c r="AB231" s="45"/>
      <c r="AC231" s="45"/>
      <c r="AD231" s="45"/>
      <c r="AE231" s="45"/>
      <c r="AF231" s="45"/>
      <c r="AG231" s="45"/>
      <c r="AH231" s="45"/>
      <c r="AI231" s="45"/>
      <c r="AJ231" s="45"/>
      <c r="AK231" s="45"/>
      <c r="AL231" s="45"/>
      <c r="AM231" s="45"/>
      <c r="AN231" s="45"/>
      <c r="AO231" s="45"/>
      <c r="AP231" s="45"/>
      <c r="AQ231" s="45"/>
      <c r="AR231" s="45"/>
      <c r="AS231" s="45"/>
      <c r="AT231" s="45"/>
      <c r="AU231" s="45"/>
      <c r="AV231" s="45"/>
      <c r="AW231" s="45"/>
      <c r="AX231" s="45"/>
      <c r="AY231" s="45"/>
      <c r="AZ231" s="45"/>
      <c r="BA231" s="45"/>
      <c r="BB231" s="45"/>
      <c r="BC231" s="45"/>
      <c r="BD231" s="45"/>
      <c r="BE231" s="45"/>
      <c r="BF231" s="45"/>
      <c r="BG231" s="45"/>
      <c r="BH231" s="45"/>
      <c r="BI231" s="45"/>
      <c r="BJ231" s="45"/>
      <c r="BK231" s="45"/>
      <c r="BL231" s="45"/>
      <c r="BM231" s="45"/>
      <c r="BN231" s="45"/>
      <c r="BO231" s="45"/>
      <c r="BP231" s="45"/>
      <c r="BQ231" s="45"/>
      <c r="BR231" s="45"/>
      <c r="BS231" s="45"/>
      <c r="BT231" s="45"/>
    </row>
    <row r="232" spans="2:72" s="97" customFormat="1" x14ac:dyDescent="0.25">
      <c r="B232" s="98"/>
      <c r="C232" s="45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  <c r="O232" s="45"/>
      <c r="P232" s="45"/>
      <c r="Q232" s="45"/>
      <c r="R232" s="45"/>
      <c r="S232" s="45"/>
      <c r="T232" s="45"/>
      <c r="U232" s="45"/>
      <c r="V232" s="45"/>
      <c r="W232" s="45"/>
      <c r="X232" s="45"/>
      <c r="Y232" s="45"/>
      <c r="Z232" s="45"/>
      <c r="AA232" s="45"/>
      <c r="AB232" s="45"/>
      <c r="AC232" s="45"/>
      <c r="AD232" s="45"/>
      <c r="AE232" s="45"/>
      <c r="AF232" s="45"/>
      <c r="AG232" s="45"/>
      <c r="AH232" s="45"/>
      <c r="AI232" s="45"/>
      <c r="AJ232" s="45"/>
      <c r="AK232" s="45"/>
      <c r="AL232" s="45"/>
      <c r="AM232" s="45"/>
      <c r="AN232" s="45"/>
      <c r="AO232" s="45"/>
      <c r="AP232" s="45"/>
      <c r="AQ232" s="45"/>
      <c r="AR232" s="45"/>
      <c r="AS232" s="45"/>
      <c r="AT232" s="45"/>
      <c r="AU232" s="45"/>
      <c r="AV232" s="45"/>
      <c r="AW232" s="45"/>
      <c r="AX232" s="45"/>
      <c r="AY232" s="45"/>
      <c r="AZ232" s="45"/>
      <c r="BA232" s="45"/>
      <c r="BB232" s="45"/>
      <c r="BC232" s="45"/>
      <c r="BD232" s="45"/>
      <c r="BE232" s="45"/>
      <c r="BF232" s="45"/>
      <c r="BG232" s="45"/>
      <c r="BH232" s="45"/>
      <c r="BI232" s="45"/>
      <c r="BJ232" s="45"/>
      <c r="BK232" s="45"/>
      <c r="BL232" s="45"/>
      <c r="BM232" s="45"/>
      <c r="BN232" s="45"/>
      <c r="BO232" s="45"/>
      <c r="BP232" s="45"/>
      <c r="BQ232" s="45"/>
      <c r="BR232" s="45"/>
      <c r="BS232" s="45"/>
      <c r="BT232" s="45"/>
    </row>
    <row r="233" spans="2:72" s="97" customFormat="1" x14ac:dyDescent="0.25">
      <c r="B233" s="98"/>
      <c r="C233" s="45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N233" s="45"/>
      <c r="O233" s="45"/>
      <c r="P233" s="45"/>
      <c r="Q233" s="45"/>
      <c r="R233" s="45"/>
      <c r="S233" s="45"/>
      <c r="T233" s="45"/>
      <c r="U233" s="45"/>
      <c r="V233" s="45"/>
      <c r="W233" s="45"/>
      <c r="X233" s="45"/>
      <c r="Y233" s="45"/>
      <c r="Z233" s="45"/>
      <c r="AA233" s="45"/>
      <c r="AB233" s="45"/>
      <c r="AC233" s="45"/>
      <c r="AD233" s="45"/>
      <c r="AE233" s="45"/>
      <c r="AF233" s="45"/>
      <c r="AG233" s="45"/>
      <c r="AH233" s="45"/>
      <c r="AI233" s="45"/>
      <c r="AJ233" s="45"/>
      <c r="AK233" s="45"/>
      <c r="AL233" s="45"/>
      <c r="AM233" s="45"/>
      <c r="AN233" s="45"/>
      <c r="AO233" s="45"/>
      <c r="AP233" s="45"/>
      <c r="AQ233" s="45"/>
      <c r="AR233" s="45"/>
      <c r="AS233" s="45"/>
      <c r="AT233" s="45"/>
      <c r="AU233" s="45"/>
      <c r="AV233" s="45"/>
      <c r="AW233" s="45"/>
      <c r="AX233" s="45"/>
      <c r="AY233" s="45"/>
      <c r="AZ233" s="45"/>
      <c r="BA233" s="45"/>
      <c r="BB233" s="45"/>
      <c r="BC233" s="45"/>
      <c r="BD233" s="45"/>
      <c r="BE233" s="45"/>
      <c r="BF233" s="45"/>
      <c r="BG233" s="45"/>
      <c r="BH233" s="45"/>
      <c r="BI233" s="45"/>
      <c r="BJ233" s="45"/>
      <c r="BK233" s="45"/>
      <c r="BL233" s="45"/>
      <c r="BM233" s="45"/>
      <c r="BN233" s="45"/>
      <c r="BO233" s="45"/>
      <c r="BP233" s="45"/>
      <c r="BQ233" s="45"/>
      <c r="BR233" s="45"/>
      <c r="BS233" s="45"/>
      <c r="BT233" s="45"/>
    </row>
    <row r="234" spans="2:72" s="97" customFormat="1" x14ac:dyDescent="0.25">
      <c r="B234" s="98"/>
      <c r="C234" s="45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45"/>
      <c r="O234" s="45"/>
      <c r="P234" s="45"/>
      <c r="Q234" s="45"/>
      <c r="R234" s="45"/>
      <c r="S234" s="45"/>
      <c r="T234" s="45"/>
      <c r="U234" s="45"/>
      <c r="V234" s="45"/>
      <c r="W234" s="45"/>
      <c r="X234" s="45"/>
      <c r="Y234" s="45"/>
      <c r="Z234" s="45"/>
      <c r="AA234" s="45"/>
      <c r="AB234" s="45"/>
      <c r="AC234" s="45"/>
      <c r="AD234" s="45"/>
      <c r="AE234" s="45"/>
      <c r="AF234" s="45"/>
      <c r="AG234" s="45"/>
      <c r="AH234" s="45"/>
      <c r="AI234" s="45"/>
      <c r="AJ234" s="45"/>
      <c r="AK234" s="45"/>
      <c r="AL234" s="45"/>
      <c r="AM234" s="45"/>
      <c r="AN234" s="45"/>
      <c r="AO234" s="45"/>
      <c r="AP234" s="45"/>
      <c r="AQ234" s="45"/>
      <c r="AR234" s="45"/>
      <c r="AS234" s="45"/>
      <c r="AT234" s="45"/>
      <c r="AU234" s="45"/>
      <c r="AV234" s="45"/>
      <c r="AW234" s="45"/>
      <c r="AX234" s="45"/>
      <c r="AY234" s="45"/>
      <c r="AZ234" s="45"/>
      <c r="BA234" s="45"/>
      <c r="BB234" s="45"/>
      <c r="BC234" s="45"/>
      <c r="BD234" s="45"/>
      <c r="BE234" s="45"/>
      <c r="BF234" s="45"/>
      <c r="BG234" s="45"/>
      <c r="BH234" s="45"/>
      <c r="BI234" s="45"/>
      <c r="BJ234" s="45"/>
      <c r="BK234" s="45"/>
      <c r="BL234" s="45"/>
      <c r="BM234" s="45"/>
      <c r="BN234" s="45"/>
      <c r="BO234" s="45"/>
      <c r="BP234" s="45"/>
      <c r="BQ234" s="45"/>
      <c r="BR234" s="45"/>
      <c r="BS234" s="45"/>
      <c r="BT234" s="45"/>
    </row>
    <row r="235" spans="2:72" s="97" customFormat="1" x14ac:dyDescent="0.25">
      <c r="B235" s="98"/>
      <c r="C235" s="45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N235" s="45"/>
      <c r="O235" s="45"/>
      <c r="P235" s="45"/>
      <c r="Q235" s="45"/>
      <c r="R235" s="45"/>
      <c r="S235" s="45"/>
      <c r="T235" s="45"/>
      <c r="U235" s="45"/>
      <c r="V235" s="45"/>
      <c r="W235" s="45"/>
      <c r="X235" s="45"/>
      <c r="Y235" s="45"/>
      <c r="Z235" s="45"/>
      <c r="AA235" s="45"/>
      <c r="AB235" s="45"/>
      <c r="AC235" s="45"/>
      <c r="AD235" s="45"/>
      <c r="AE235" s="45"/>
      <c r="AF235" s="45"/>
      <c r="AG235" s="45"/>
      <c r="AH235" s="45"/>
      <c r="AI235" s="45"/>
      <c r="AJ235" s="45"/>
      <c r="AK235" s="45"/>
      <c r="AL235" s="45"/>
      <c r="AM235" s="45"/>
      <c r="AN235" s="45"/>
      <c r="AO235" s="45"/>
      <c r="AP235" s="45"/>
      <c r="AQ235" s="45"/>
      <c r="AR235" s="45"/>
      <c r="AS235" s="45"/>
      <c r="AT235" s="45"/>
      <c r="AU235" s="45"/>
      <c r="AV235" s="45"/>
      <c r="AW235" s="45"/>
      <c r="AX235" s="45"/>
      <c r="AY235" s="45"/>
      <c r="AZ235" s="45"/>
      <c r="BA235" s="45"/>
      <c r="BB235" s="45"/>
      <c r="BC235" s="45"/>
      <c r="BD235" s="45"/>
      <c r="BE235" s="45"/>
      <c r="BF235" s="45"/>
      <c r="BG235" s="45"/>
      <c r="BH235" s="45"/>
      <c r="BI235" s="45"/>
      <c r="BJ235" s="45"/>
      <c r="BK235" s="45"/>
      <c r="BL235" s="45"/>
      <c r="BM235" s="45"/>
      <c r="BN235" s="45"/>
      <c r="BO235" s="45"/>
      <c r="BP235" s="45"/>
      <c r="BQ235" s="45"/>
      <c r="BR235" s="45"/>
      <c r="BS235" s="45"/>
      <c r="BT235" s="45"/>
    </row>
    <row r="236" spans="2:72" s="97" customFormat="1" x14ac:dyDescent="0.25">
      <c r="B236" s="98"/>
      <c r="C236" s="45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45"/>
      <c r="O236" s="45"/>
      <c r="P236" s="45"/>
      <c r="Q236" s="45"/>
      <c r="R236" s="45"/>
      <c r="S236" s="45"/>
      <c r="T236" s="45"/>
      <c r="U236" s="45"/>
      <c r="V236" s="45"/>
      <c r="W236" s="45"/>
      <c r="X236" s="45"/>
      <c r="Y236" s="45"/>
      <c r="Z236" s="45"/>
      <c r="AA236" s="45"/>
      <c r="AB236" s="45"/>
      <c r="AC236" s="45"/>
      <c r="AD236" s="45"/>
      <c r="AE236" s="45"/>
      <c r="AF236" s="45"/>
      <c r="AG236" s="45"/>
      <c r="AH236" s="45"/>
      <c r="AI236" s="45"/>
      <c r="AJ236" s="45"/>
      <c r="AK236" s="45"/>
      <c r="AL236" s="45"/>
      <c r="AM236" s="45"/>
      <c r="AN236" s="45"/>
      <c r="AO236" s="45"/>
      <c r="AP236" s="45"/>
      <c r="AQ236" s="45"/>
      <c r="AR236" s="45"/>
      <c r="AS236" s="45"/>
      <c r="AT236" s="45"/>
      <c r="AU236" s="45"/>
      <c r="AV236" s="45"/>
      <c r="AW236" s="45"/>
      <c r="AX236" s="45"/>
      <c r="AY236" s="45"/>
      <c r="AZ236" s="45"/>
      <c r="BA236" s="45"/>
      <c r="BB236" s="45"/>
      <c r="BC236" s="45"/>
      <c r="BD236" s="45"/>
      <c r="BE236" s="45"/>
      <c r="BF236" s="45"/>
      <c r="BG236" s="45"/>
      <c r="BH236" s="45"/>
      <c r="BI236" s="45"/>
      <c r="BJ236" s="45"/>
      <c r="BK236" s="45"/>
      <c r="BL236" s="45"/>
      <c r="BM236" s="45"/>
      <c r="BN236" s="45"/>
      <c r="BO236" s="45"/>
      <c r="BP236" s="45"/>
      <c r="BQ236" s="45"/>
      <c r="BR236" s="45"/>
      <c r="BS236" s="45"/>
      <c r="BT236" s="45"/>
    </row>
    <row r="237" spans="2:72" s="97" customFormat="1" x14ac:dyDescent="0.25">
      <c r="B237" s="98"/>
      <c r="C237" s="45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45"/>
      <c r="R237" s="45"/>
      <c r="S237" s="45"/>
      <c r="T237" s="45"/>
      <c r="U237" s="45"/>
      <c r="V237" s="45"/>
      <c r="W237" s="45"/>
      <c r="X237" s="45"/>
      <c r="Y237" s="45"/>
      <c r="Z237" s="45"/>
      <c r="AA237" s="45"/>
      <c r="AB237" s="45"/>
      <c r="AC237" s="45"/>
      <c r="AD237" s="45"/>
      <c r="AE237" s="45"/>
      <c r="AF237" s="45"/>
      <c r="AG237" s="45"/>
      <c r="AH237" s="45"/>
      <c r="AI237" s="45"/>
      <c r="AJ237" s="45"/>
      <c r="AK237" s="45"/>
      <c r="AL237" s="45"/>
      <c r="AM237" s="45"/>
      <c r="AN237" s="45"/>
      <c r="AO237" s="45"/>
      <c r="AP237" s="45"/>
      <c r="AQ237" s="45"/>
      <c r="AR237" s="45"/>
      <c r="AS237" s="45"/>
      <c r="AT237" s="45"/>
      <c r="AU237" s="45"/>
      <c r="AV237" s="45"/>
      <c r="AW237" s="45"/>
      <c r="AX237" s="45"/>
      <c r="AY237" s="45"/>
      <c r="AZ237" s="45"/>
      <c r="BA237" s="45"/>
      <c r="BB237" s="45"/>
      <c r="BC237" s="45"/>
      <c r="BD237" s="45"/>
      <c r="BE237" s="45"/>
      <c r="BF237" s="45"/>
      <c r="BG237" s="45"/>
      <c r="BH237" s="45"/>
      <c r="BI237" s="45"/>
      <c r="BJ237" s="45"/>
      <c r="BK237" s="45"/>
      <c r="BL237" s="45"/>
      <c r="BM237" s="45"/>
      <c r="BN237" s="45"/>
      <c r="BO237" s="45"/>
      <c r="BP237" s="45"/>
      <c r="BQ237" s="45"/>
      <c r="BR237" s="45"/>
      <c r="BS237" s="45"/>
      <c r="BT237" s="45"/>
    </row>
    <row r="238" spans="2:72" s="97" customFormat="1" x14ac:dyDescent="0.25">
      <c r="B238" s="98"/>
      <c r="C238" s="45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45"/>
      <c r="R238" s="45"/>
      <c r="S238" s="45"/>
      <c r="T238" s="45"/>
      <c r="U238" s="45"/>
      <c r="V238" s="45"/>
      <c r="W238" s="45"/>
      <c r="X238" s="45"/>
      <c r="Y238" s="45"/>
      <c r="Z238" s="45"/>
      <c r="AA238" s="45"/>
      <c r="AB238" s="45"/>
      <c r="AC238" s="45"/>
      <c r="AD238" s="45"/>
      <c r="AE238" s="45"/>
      <c r="AF238" s="45"/>
      <c r="AG238" s="45"/>
      <c r="AH238" s="45"/>
      <c r="AI238" s="45"/>
      <c r="AJ238" s="45"/>
      <c r="AK238" s="45"/>
      <c r="AL238" s="45"/>
      <c r="AM238" s="45"/>
      <c r="AN238" s="45"/>
      <c r="AO238" s="45"/>
      <c r="AP238" s="45"/>
      <c r="AQ238" s="45"/>
      <c r="AR238" s="45"/>
      <c r="AS238" s="45"/>
      <c r="AT238" s="45"/>
      <c r="AU238" s="45"/>
      <c r="AV238" s="45"/>
      <c r="AW238" s="45"/>
      <c r="AX238" s="45"/>
      <c r="AY238" s="45"/>
      <c r="AZ238" s="45"/>
      <c r="BA238" s="45"/>
      <c r="BB238" s="45"/>
      <c r="BC238" s="45"/>
      <c r="BD238" s="45"/>
      <c r="BE238" s="45"/>
      <c r="BF238" s="45"/>
      <c r="BG238" s="45"/>
      <c r="BH238" s="45"/>
      <c r="BI238" s="45"/>
      <c r="BJ238" s="45"/>
      <c r="BK238" s="45"/>
      <c r="BL238" s="45"/>
      <c r="BM238" s="45"/>
      <c r="BN238" s="45"/>
      <c r="BO238" s="45"/>
      <c r="BP238" s="45"/>
      <c r="BQ238" s="45"/>
      <c r="BR238" s="45"/>
      <c r="BS238" s="45"/>
      <c r="BT238" s="45"/>
    </row>
    <row r="239" spans="2:72" s="97" customFormat="1" x14ac:dyDescent="0.25">
      <c r="B239" s="98"/>
      <c r="C239" s="45"/>
      <c r="D239" s="45"/>
      <c r="E239" s="45"/>
      <c r="F239" s="45"/>
      <c r="G239" s="45"/>
      <c r="H239" s="45"/>
      <c r="I239" s="45"/>
      <c r="J239" s="45"/>
      <c r="K239" s="45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45"/>
      <c r="W239" s="45"/>
      <c r="X239" s="45"/>
      <c r="Y239" s="45"/>
      <c r="Z239" s="45"/>
      <c r="AA239" s="45"/>
      <c r="AB239" s="45"/>
      <c r="AC239" s="45"/>
      <c r="AD239" s="45"/>
      <c r="AE239" s="45"/>
      <c r="AF239" s="45"/>
      <c r="AG239" s="45"/>
      <c r="AH239" s="45"/>
      <c r="AI239" s="45"/>
      <c r="AJ239" s="45"/>
      <c r="AK239" s="45"/>
      <c r="AL239" s="45"/>
      <c r="AM239" s="45"/>
      <c r="AN239" s="45"/>
      <c r="AO239" s="45"/>
      <c r="AP239" s="45"/>
      <c r="AQ239" s="45"/>
      <c r="AR239" s="45"/>
      <c r="AS239" s="45"/>
      <c r="AT239" s="45"/>
      <c r="AU239" s="45"/>
      <c r="AV239" s="45"/>
      <c r="AW239" s="45"/>
      <c r="AX239" s="45"/>
      <c r="AY239" s="45"/>
      <c r="AZ239" s="45"/>
      <c r="BA239" s="45"/>
      <c r="BB239" s="45"/>
      <c r="BC239" s="45"/>
      <c r="BD239" s="45"/>
      <c r="BE239" s="45"/>
      <c r="BF239" s="45"/>
      <c r="BG239" s="45"/>
      <c r="BH239" s="45"/>
      <c r="BI239" s="45"/>
      <c r="BJ239" s="45"/>
      <c r="BK239" s="45"/>
      <c r="BL239" s="45"/>
      <c r="BM239" s="45"/>
      <c r="BN239" s="45"/>
      <c r="BO239" s="45"/>
      <c r="BP239" s="45"/>
      <c r="BQ239" s="45"/>
      <c r="BR239" s="45"/>
      <c r="BS239" s="45"/>
      <c r="BT239" s="45"/>
    </row>
    <row r="240" spans="2:72" x14ac:dyDescent="0.25">
      <c r="B240" s="98"/>
    </row>
    <row r="241" spans="2:2" x14ac:dyDescent="0.25">
      <c r="B241" s="98"/>
    </row>
    <row r="242" spans="2:2" x14ac:dyDescent="0.25">
      <c r="B242" s="98"/>
    </row>
    <row r="243" spans="2:2" x14ac:dyDescent="0.25">
      <c r="B243" s="98"/>
    </row>
    <row r="244" spans="2:2" x14ac:dyDescent="0.25">
      <c r="B244" s="98"/>
    </row>
    <row r="245" spans="2:2" x14ac:dyDescent="0.25">
      <c r="B245" s="98"/>
    </row>
    <row r="246" spans="2:2" x14ac:dyDescent="0.25">
      <c r="B246" s="98"/>
    </row>
    <row r="247" spans="2:2" x14ac:dyDescent="0.25">
      <c r="B247" s="98"/>
    </row>
  </sheetData>
  <mergeCells count="98">
    <mergeCell ref="CW5:DC5"/>
    <mergeCell ref="CW6:CW8"/>
    <mergeCell ref="CX6:DC6"/>
    <mergeCell ref="CX7:CY7"/>
    <mergeCell ref="CZ7:DA7"/>
    <mergeCell ref="DB7:DC7"/>
    <mergeCell ref="CP5:CV5"/>
    <mergeCell ref="CP6:CP8"/>
    <mergeCell ref="CQ6:CV6"/>
    <mergeCell ref="CQ7:CR7"/>
    <mergeCell ref="CS7:CT7"/>
    <mergeCell ref="CU7:CV7"/>
    <mergeCell ref="CI5:CO5"/>
    <mergeCell ref="CI6:CI8"/>
    <mergeCell ref="CJ6:CO6"/>
    <mergeCell ref="CJ7:CK7"/>
    <mergeCell ref="CL7:CM7"/>
    <mergeCell ref="CN7:CO7"/>
    <mergeCell ref="BN5:BT5"/>
    <mergeCell ref="BN6:BN8"/>
    <mergeCell ref="CB5:CH5"/>
    <mergeCell ref="CB6:CB8"/>
    <mergeCell ref="CC6:CH6"/>
    <mergeCell ref="CC7:CD7"/>
    <mergeCell ref="CE7:CF7"/>
    <mergeCell ref="CG7:CH7"/>
    <mergeCell ref="BU5:CA5"/>
    <mergeCell ref="BU6:BU8"/>
    <mergeCell ref="BV6:CA6"/>
    <mergeCell ref="BV7:BW7"/>
    <mergeCell ref="BX7:BY7"/>
    <mergeCell ref="BZ7:CA7"/>
    <mergeCell ref="BO6:BT6"/>
    <mergeCell ref="BO7:BP7"/>
    <mergeCell ref="BQ7:BR7"/>
    <mergeCell ref="BS7:BT7"/>
    <mergeCell ref="Y6:AD6"/>
    <mergeCell ref="AF7:AG7"/>
    <mergeCell ref="AE6:AE8"/>
    <mergeCell ref="AF6:AK6"/>
    <mergeCell ref="BL7:BM7"/>
    <mergeCell ref="BC7:BD7"/>
    <mergeCell ref="K7:L7"/>
    <mergeCell ref="J6:J8"/>
    <mergeCell ref="K6:P6"/>
    <mergeCell ref="Q5:W5"/>
    <mergeCell ref="Q6:Q8"/>
    <mergeCell ref="R6:W6"/>
    <mergeCell ref="R7:S7"/>
    <mergeCell ref="T7:U7"/>
    <mergeCell ref="V7:W7"/>
    <mergeCell ref="J5:P5"/>
    <mergeCell ref="M7:N7"/>
    <mergeCell ref="O7:P7"/>
    <mergeCell ref="A5:A8"/>
    <mergeCell ref="B5:B8"/>
    <mergeCell ref="C6:C8"/>
    <mergeCell ref="D6:I6"/>
    <mergeCell ref="C5:I5"/>
    <mergeCell ref="F7:G7"/>
    <mergeCell ref="H7:I7"/>
    <mergeCell ref="D7:E7"/>
    <mergeCell ref="AZ5:BF5"/>
    <mergeCell ref="BE7:BF7"/>
    <mergeCell ref="BH7:BI7"/>
    <mergeCell ref="BG6:BG8"/>
    <mergeCell ref="BH6:BM6"/>
    <mergeCell ref="BA7:BB7"/>
    <mergeCell ref="AZ6:AZ8"/>
    <mergeCell ref="BA6:BF6"/>
    <mergeCell ref="BG5:BM5"/>
    <mergeCell ref="BJ7:BK7"/>
    <mergeCell ref="AS5:AY5"/>
    <mergeCell ref="AV7:AW7"/>
    <mergeCell ref="AX7:AY7"/>
    <mergeCell ref="AM7:AN7"/>
    <mergeCell ref="AM6:AR6"/>
    <mergeCell ref="AT7:AU7"/>
    <mergeCell ref="AS6:AS8"/>
    <mergeCell ref="AT6:AY6"/>
    <mergeCell ref="X5:AD5"/>
    <mergeCell ref="AE5:AK5"/>
    <mergeCell ref="AQ7:AR7"/>
    <mergeCell ref="AA7:AB7"/>
    <mergeCell ref="AJ7:AK7"/>
    <mergeCell ref="AO7:AP7"/>
    <mergeCell ref="AL5:AR5"/>
    <mergeCell ref="AL6:AL8"/>
    <mergeCell ref="Y7:Z7"/>
    <mergeCell ref="X6:X8"/>
    <mergeCell ref="AC7:AD7"/>
    <mergeCell ref="AH7:AI7"/>
    <mergeCell ref="DD5:DJ5"/>
    <mergeCell ref="DD6:DD8"/>
    <mergeCell ref="DE6:DJ6"/>
    <mergeCell ref="DE7:DF7"/>
    <mergeCell ref="DG7:DH7"/>
    <mergeCell ref="DI7:DJ7"/>
  </mergeCells>
  <phoneticPr fontId="0" type="noConversion"/>
  <pageMargins left="0.3" right="0.2" top="1.19" bottom="0.984251969" header="0.54" footer="0.4921259845"/>
  <pageSetup paperSize="9" scale="51" orientation="landscape" horizontalDpi="300" verticalDpi="300" r:id="rId1"/>
  <headerFooter alignWithMargins="0">
    <oddFooter>&amp;R&amp;Z&amp;F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248"/>
  <sheetViews>
    <sheetView workbookViewId="0">
      <selection activeCell="AM20" sqref="AM20"/>
    </sheetView>
  </sheetViews>
  <sheetFormatPr baseColWidth="10" defaultColWidth="11.44140625" defaultRowHeight="13.2" x14ac:dyDescent="0.25"/>
  <cols>
    <col min="1" max="1" width="3.6640625" style="45" customWidth="1"/>
    <col min="2" max="2" width="21.33203125" style="46" customWidth="1"/>
    <col min="3" max="3" width="6.6640625" style="45" customWidth="1"/>
    <col min="4" max="7" width="6.5546875" style="45" customWidth="1"/>
    <col min="8" max="8" width="6.6640625" style="45" hidden="1" customWidth="1"/>
    <col min="9" max="12" width="6.5546875" style="45" hidden="1" customWidth="1"/>
    <col min="13" max="13" width="6.6640625" style="45" customWidth="1"/>
    <col min="14" max="17" width="6.5546875" style="45" customWidth="1"/>
    <col min="18" max="18" width="6.6640625" style="45" customWidth="1"/>
    <col min="19" max="22" width="6.5546875" style="45" customWidth="1"/>
    <col min="23" max="23" width="6.6640625" style="45" customWidth="1"/>
    <col min="24" max="27" width="6.5546875" style="45" customWidth="1"/>
    <col min="28" max="28" width="6.6640625" style="45" customWidth="1"/>
    <col min="29" max="32" width="6.5546875" style="45" customWidth="1"/>
    <col min="33" max="33" width="6.6640625" style="45" customWidth="1"/>
    <col min="34" max="37" width="6.5546875" style="45" customWidth="1"/>
    <col min="38" max="16384" width="11.44140625" style="47"/>
  </cols>
  <sheetData>
    <row r="3" spans="1:37" s="43" customFormat="1" x14ac:dyDescent="0.25">
      <c r="A3" s="43" t="s">
        <v>31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</row>
    <row r="4" spans="1:37" s="43" customFormat="1" x14ac:dyDescent="0.25">
      <c r="A4" s="43" t="s">
        <v>41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</row>
    <row r="6" spans="1:37" ht="13.8" thickBot="1" x14ac:dyDescent="0.3"/>
    <row r="7" spans="1:37" s="50" customFormat="1" ht="15" customHeight="1" x14ac:dyDescent="0.25">
      <c r="A7" s="48"/>
      <c r="B7" s="49"/>
      <c r="C7" s="299" t="s">
        <v>25</v>
      </c>
      <c r="D7" s="300"/>
      <c r="E7" s="300"/>
      <c r="F7" s="300"/>
      <c r="G7" s="301"/>
      <c r="H7" s="299" t="s">
        <v>18</v>
      </c>
      <c r="I7" s="300"/>
      <c r="J7" s="300"/>
      <c r="K7" s="300"/>
      <c r="L7" s="301"/>
      <c r="M7" s="299" t="s">
        <v>19</v>
      </c>
      <c r="N7" s="300"/>
      <c r="O7" s="300"/>
      <c r="P7" s="300"/>
      <c r="Q7" s="301"/>
      <c r="R7" s="299" t="s">
        <v>23</v>
      </c>
      <c r="S7" s="300"/>
      <c r="T7" s="300"/>
      <c r="U7" s="300"/>
      <c r="V7" s="301"/>
      <c r="W7" s="299" t="s">
        <v>24</v>
      </c>
      <c r="X7" s="300"/>
      <c r="Y7" s="300"/>
      <c r="Z7" s="300"/>
      <c r="AA7" s="301"/>
      <c r="AB7" s="299" t="s">
        <v>26</v>
      </c>
      <c r="AC7" s="300"/>
      <c r="AD7" s="300"/>
      <c r="AE7" s="300"/>
      <c r="AF7" s="301"/>
      <c r="AG7" s="299" t="s">
        <v>39</v>
      </c>
      <c r="AH7" s="300"/>
      <c r="AI7" s="300"/>
      <c r="AJ7" s="300"/>
      <c r="AK7" s="301"/>
    </row>
    <row r="8" spans="1:37" ht="38.25" customHeight="1" x14ac:dyDescent="0.25">
      <c r="A8" s="51" t="s">
        <v>27</v>
      </c>
      <c r="B8" s="52" t="s">
        <v>28</v>
      </c>
      <c r="C8" s="53" t="s">
        <v>29</v>
      </c>
      <c r="D8" s="314" t="s">
        <v>40</v>
      </c>
      <c r="E8" s="315"/>
      <c r="F8" s="314" t="s">
        <v>34</v>
      </c>
      <c r="G8" s="315"/>
      <c r="H8" s="53" t="s">
        <v>29</v>
      </c>
      <c r="I8" s="314" t="s">
        <v>40</v>
      </c>
      <c r="J8" s="315"/>
      <c r="K8" s="314" t="s">
        <v>34</v>
      </c>
      <c r="L8" s="315"/>
      <c r="M8" s="53" t="s">
        <v>29</v>
      </c>
      <c r="N8" s="314" t="s">
        <v>40</v>
      </c>
      <c r="O8" s="315"/>
      <c r="P8" s="314" t="s">
        <v>34</v>
      </c>
      <c r="Q8" s="315"/>
      <c r="R8" s="53" t="s">
        <v>29</v>
      </c>
      <c r="S8" s="314" t="s">
        <v>40</v>
      </c>
      <c r="T8" s="315"/>
      <c r="U8" s="314" t="s">
        <v>34</v>
      </c>
      <c r="V8" s="315"/>
      <c r="W8" s="53" t="s">
        <v>29</v>
      </c>
      <c r="X8" s="314" t="s">
        <v>40</v>
      </c>
      <c r="Y8" s="315"/>
      <c r="Z8" s="314" t="s">
        <v>34</v>
      </c>
      <c r="AA8" s="315"/>
      <c r="AB8" s="53" t="s">
        <v>29</v>
      </c>
      <c r="AC8" s="314" t="s">
        <v>40</v>
      </c>
      <c r="AD8" s="315"/>
      <c r="AE8" s="314" t="s">
        <v>34</v>
      </c>
      <c r="AF8" s="332"/>
      <c r="AG8" s="53" t="s">
        <v>29</v>
      </c>
      <c r="AH8" s="314" t="s">
        <v>40</v>
      </c>
      <c r="AI8" s="315"/>
      <c r="AJ8" s="314" t="s">
        <v>34</v>
      </c>
      <c r="AK8" s="332"/>
    </row>
    <row r="9" spans="1:37" s="57" customFormat="1" ht="15" customHeight="1" thickBot="1" x14ac:dyDescent="0.3">
      <c r="A9" s="51"/>
      <c r="B9" s="52"/>
      <c r="C9" s="54"/>
      <c r="D9" s="55" t="s">
        <v>35</v>
      </c>
      <c r="E9" s="55" t="s">
        <v>36</v>
      </c>
      <c r="F9" s="55" t="s">
        <v>35</v>
      </c>
      <c r="G9" s="56" t="s">
        <v>36</v>
      </c>
      <c r="H9" s="54"/>
      <c r="I9" s="55" t="s">
        <v>35</v>
      </c>
      <c r="J9" s="55" t="s">
        <v>36</v>
      </c>
      <c r="K9" s="55" t="s">
        <v>35</v>
      </c>
      <c r="L9" s="56" t="s">
        <v>36</v>
      </c>
      <c r="M9" s="54"/>
      <c r="N9" s="55" t="s">
        <v>35</v>
      </c>
      <c r="O9" s="55" t="s">
        <v>36</v>
      </c>
      <c r="P9" s="55" t="s">
        <v>35</v>
      </c>
      <c r="Q9" s="56" t="s">
        <v>36</v>
      </c>
      <c r="R9" s="54"/>
      <c r="S9" s="55" t="s">
        <v>35</v>
      </c>
      <c r="T9" s="55" t="s">
        <v>36</v>
      </c>
      <c r="U9" s="55" t="s">
        <v>35</v>
      </c>
      <c r="V9" s="56" t="s">
        <v>36</v>
      </c>
      <c r="W9" s="54"/>
      <c r="X9" s="55" t="s">
        <v>35</v>
      </c>
      <c r="Y9" s="55" t="s">
        <v>36</v>
      </c>
      <c r="Z9" s="55" t="s">
        <v>35</v>
      </c>
      <c r="AA9" s="56" t="s">
        <v>36</v>
      </c>
      <c r="AB9" s="54"/>
      <c r="AC9" s="55" t="s">
        <v>35</v>
      </c>
      <c r="AD9" s="55" t="s">
        <v>36</v>
      </c>
      <c r="AE9" s="55" t="s">
        <v>35</v>
      </c>
      <c r="AF9" s="56" t="s">
        <v>36</v>
      </c>
      <c r="AG9" s="54"/>
      <c r="AH9" s="55" t="s">
        <v>35</v>
      </c>
      <c r="AI9" s="55" t="s">
        <v>36</v>
      </c>
      <c r="AJ9" s="55" t="s">
        <v>35</v>
      </c>
      <c r="AK9" s="56" t="s">
        <v>36</v>
      </c>
    </row>
    <row r="10" spans="1:37" s="65" customFormat="1" ht="15" customHeight="1" thickBot="1" x14ac:dyDescent="0.3">
      <c r="A10" s="58">
        <v>1</v>
      </c>
      <c r="B10" s="59">
        <v>2</v>
      </c>
      <c r="C10" s="60">
        <v>3</v>
      </c>
      <c r="D10" s="61">
        <v>4</v>
      </c>
      <c r="E10" s="62">
        <v>5</v>
      </c>
      <c r="F10" s="61">
        <v>6</v>
      </c>
      <c r="G10" s="63">
        <v>7</v>
      </c>
      <c r="H10" s="60">
        <v>8</v>
      </c>
      <c r="I10" s="61">
        <v>9</v>
      </c>
      <c r="J10" s="62">
        <v>10</v>
      </c>
      <c r="K10" s="61">
        <v>11</v>
      </c>
      <c r="L10" s="63">
        <v>12</v>
      </c>
      <c r="M10" s="60">
        <v>8</v>
      </c>
      <c r="N10" s="61">
        <v>9</v>
      </c>
      <c r="O10" s="62">
        <v>10</v>
      </c>
      <c r="P10" s="61">
        <v>11</v>
      </c>
      <c r="Q10" s="63">
        <v>12</v>
      </c>
      <c r="R10" s="60">
        <v>13</v>
      </c>
      <c r="S10" s="61">
        <v>14</v>
      </c>
      <c r="T10" s="62">
        <v>15</v>
      </c>
      <c r="U10" s="61">
        <v>16</v>
      </c>
      <c r="V10" s="63">
        <v>17</v>
      </c>
      <c r="W10" s="60">
        <v>18</v>
      </c>
      <c r="X10" s="61">
        <v>19</v>
      </c>
      <c r="Y10" s="62">
        <v>20</v>
      </c>
      <c r="Z10" s="61">
        <v>21</v>
      </c>
      <c r="AA10" s="63">
        <v>22</v>
      </c>
      <c r="AB10" s="60">
        <v>23</v>
      </c>
      <c r="AC10" s="61">
        <v>24</v>
      </c>
      <c r="AD10" s="62">
        <v>25</v>
      </c>
      <c r="AE10" s="61">
        <v>26</v>
      </c>
      <c r="AF10" s="64">
        <v>27</v>
      </c>
      <c r="AG10" s="60">
        <v>28</v>
      </c>
      <c r="AH10" s="61">
        <v>29</v>
      </c>
      <c r="AI10" s="62">
        <v>30</v>
      </c>
      <c r="AJ10" s="61">
        <v>31</v>
      </c>
      <c r="AK10" s="64">
        <v>32</v>
      </c>
    </row>
    <row r="11" spans="1:37" ht="26.4" customHeight="1" x14ac:dyDescent="0.25">
      <c r="A11" s="66">
        <v>1</v>
      </c>
      <c r="B11" s="67" t="s">
        <v>10</v>
      </c>
      <c r="C11" s="68" t="e">
        <f>Grundtabelle!#REF!</f>
        <v>#REF!</v>
      </c>
      <c r="D11" s="69" t="e">
        <f>Grundtabelle!#REF!</f>
        <v>#REF!</v>
      </c>
      <c r="E11" s="70" t="e">
        <f>D11*100/C11</f>
        <v>#REF!</v>
      </c>
      <c r="F11" s="69" t="e">
        <f>Grundtabelle!#REF!</f>
        <v>#REF!</v>
      </c>
      <c r="G11" s="71" t="e">
        <f>F11*100/C11</f>
        <v>#REF!</v>
      </c>
      <c r="H11" s="68" t="e">
        <f>Grundtabelle!#REF!</f>
        <v>#REF!</v>
      </c>
      <c r="I11" s="69" t="e">
        <f>Grundtabelle!#REF!</f>
        <v>#REF!</v>
      </c>
      <c r="J11" s="70" t="e">
        <f>I11*100/H11</f>
        <v>#REF!</v>
      </c>
      <c r="K11" s="69" t="e">
        <f>Grundtabelle!#REF!</f>
        <v>#REF!</v>
      </c>
      <c r="L11" s="72" t="e">
        <f>K11*100/H11</f>
        <v>#REF!</v>
      </c>
      <c r="M11" s="68" t="e">
        <f>Grundtabelle!#REF!</f>
        <v>#REF!</v>
      </c>
      <c r="N11" s="69" t="e">
        <f>Grundtabelle!#REF!</f>
        <v>#REF!</v>
      </c>
      <c r="O11" s="70" t="e">
        <f>N11*100/M11</f>
        <v>#REF!</v>
      </c>
      <c r="P11" s="69" t="e">
        <f>Grundtabelle!#REF!</f>
        <v>#REF!</v>
      </c>
      <c r="Q11" s="72" t="e">
        <f>P11*100/M11</f>
        <v>#REF!</v>
      </c>
      <c r="R11" s="68" t="e">
        <f>Grundtabelle!#REF!</f>
        <v>#REF!</v>
      </c>
      <c r="S11" s="69" t="e">
        <f>Grundtabelle!#REF!</f>
        <v>#REF!</v>
      </c>
      <c r="T11" s="70" t="e">
        <f>S11*100/R11</f>
        <v>#REF!</v>
      </c>
      <c r="U11" s="69" t="e">
        <f>Grundtabelle!#REF!</f>
        <v>#REF!</v>
      </c>
      <c r="V11" s="72" t="e">
        <f>U11*100/R11</f>
        <v>#REF!</v>
      </c>
      <c r="W11" s="68" t="e">
        <f>Grundtabelle!#REF!</f>
        <v>#REF!</v>
      </c>
      <c r="X11" s="69" t="e">
        <f>Grundtabelle!#REF!</f>
        <v>#REF!</v>
      </c>
      <c r="Y11" s="70" t="e">
        <f>X11*100/W11</f>
        <v>#REF!</v>
      </c>
      <c r="Z11" s="69" t="e">
        <f>Grundtabelle!#REF!</f>
        <v>#REF!</v>
      </c>
      <c r="AA11" s="72" t="e">
        <f>Z11*100/W11</f>
        <v>#REF!</v>
      </c>
      <c r="AB11" s="68" t="e">
        <f>Grundtabelle!#REF!</f>
        <v>#REF!</v>
      </c>
      <c r="AC11" s="69" t="e">
        <f>Grundtabelle!#REF!</f>
        <v>#REF!</v>
      </c>
      <c r="AD11" s="70" t="e">
        <f>AC11*100/AB11</f>
        <v>#REF!</v>
      </c>
      <c r="AE11" s="69" t="e">
        <f>Grundtabelle!#REF!</f>
        <v>#REF!</v>
      </c>
      <c r="AF11" s="73" t="e">
        <f>AE11*100/AB11</f>
        <v>#REF!</v>
      </c>
      <c r="AG11" s="68">
        <v>542</v>
      </c>
      <c r="AH11" s="69">
        <v>9</v>
      </c>
      <c r="AI11" s="70">
        <f>AH11*100/AG11</f>
        <v>1.6605166051660516</v>
      </c>
      <c r="AJ11" s="69">
        <v>20</v>
      </c>
      <c r="AK11" s="73">
        <f>AJ11*100/AG11</f>
        <v>3.6900369003690039</v>
      </c>
    </row>
    <row r="12" spans="1:37" ht="26.4" customHeight="1" x14ac:dyDescent="0.25">
      <c r="A12" s="74">
        <f t="shared" ref="A12:A19" si="0">A11+1</f>
        <v>2</v>
      </c>
      <c r="B12" s="75" t="s">
        <v>11</v>
      </c>
      <c r="C12" s="74" t="e">
        <f>Grundtabelle!#REF!</f>
        <v>#REF!</v>
      </c>
      <c r="D12" s="76" t="e">
        <f>Grundtabelle!#REF!</f>
        <v>#REF!</v>
      </c>
      <c r="E12" s="77" t="e">
        <f t="shared" ref="E12:E20" si="1">D12*100/C12</f>
        <v>#REF!</v>
      </c>
      <c r="F12" s="76" t="e">
        <f>Grundtabelle!#REF!</f>
        <v>#REF!</v>
      </c>
      <c r="G12" s="78" t="e">
        <f t="shared" ref="G12:G19" si="2">F12*100/C12</f>
        <v>#REF!</v>
      </c>
      <c r="H12" s="74" t="e">
        <f>Grundtabelle!#REF!</f>
        <v>#REF!</v>
      </c>
      <c r="I12" s="76" t="e">
        <f>Grundtabelle!#REF!</f>
        <v>#REF!</v>
      </c>
      <c r="J12" s="77" t="e">
        <f t="shared" ref="J12:J20" si="3">I12*100/H12</f>
        <v>#REF!</v>
      </c>
      <c r="K12" s="76" t="e">
        <f>Grundtabelle!#REF!</f>
        <v>#REF!</v>
      </c>
      <c r="L12" s="79" t="e">
        <f t="shared" ref="L12:L20" si="4">K12*100/H12</f>
        <v>#REF!</v>
      </c>
      <c r="M12" s="74" t="e">
        <f>Grundtabelle!#REF!</f>
        <v>#REF!</v>
      </c>
      <c r="N12" s="76" t="e">
        <f>Grundtabelle!#REF!</f>
        <v>#REF!</v>
      </c>
      <c r="O12" s="77" t="e">
        <f t="shared" ref="O12:O20" si="5">N12*100/M12</f>
        <v>#REF!</v>
      </c>
      <c r="P12" s="76" t="e">
        <f>Grundtabelle!#REF!</f>
        <v>#REF!</v>
      </c>
      <c r="Q12" s="79" t="e">
        <f t="shared" ref="Q12:Q20" si="6">P12*100/M12</f>
        <v>#REF!</v>
      </c>
      <c r="R12" s="74" t="e">
        <f>Grundtabelle!#REF!</f>
        <v>#REF!</v>
      </c>
      <c r="S12" s="76" t="e">
        <f>Grundtabelle!#REF!</f>
        <v>#REF!</v>
      </c>
      <c r="T12" s="77" t="e">
        <f t="shared" ref="T12:T20" si="7">S12*100/R12</f>
        <v>#REF!</v>
      </c>
      <c r="U12" s="76" t="e">
        <f>Grundtabelle!#REF!</f>
        <v>#REF!</v>
      </c>
      <c r="V12" s="79" t="e">
        <f t="shared" ref="V12:V20" si="8">U12*100/R12</f>
        <v>#REF!</v>
      </c>
      <c r="W12" s="74" t="e">
        <f>Grundtabelle!#REF!</f>
        <v>#REF!</v>
      </c>
      <c r="X12" s="76" t="e">
        <f>Grundtabelle!#REF!</f>
        <v>#REF!</v>
      </c>
      <c r="Y12" s="77" t="e">
        <f t="shared" ref="Y12:Y20" si="9">X12*100/W12</f>
        <v>#REF!</v>
      </c>
      <c r="Z12" s="76" t="e">
        <f>Grundtabelle!#REF!</f>
        <v>#REF!</v>
      </c>
      <c r="AA12" s="79" t="e">
        <f t="shared" ref="AA12:AA20" si="10">Z12*100/W12</f>
        <v>#REF!</v>
      </c>
      <c r="AB12" s="74" t="e">
        <f>Grundtabelle!#REF!</f>
        <v>#REF!</v>
      </c>
      <c r="AC12" s="76" t="e">
        <f>Grundtabelle!#REF!</f>
        <v>#REF!</v>
      </c>
      <c r="AD12" s="77" t="e">
        <f t="shared" ref="AD12:AD20" si="11">AC12*100/AB12</f>
        <v>#REF!</v>
      </c>
      <c r="AE12" s="76" t="e">
        <f>Grundtabelle!#REF!</f>
        <v>#REF!</v>
      </c>
      <c r="AF12" s="80" t="e">
        <f t="shared" ref="AF12:AF20" si="12">AE12*100/AB12</f>
        <v>#REF!</v>
      </c>
      <c r="AG12" s="74">
        <v>413</v>
      </c>
      <c r="AH12" s="76">
        <v>12</v>
      </c>
      <c r="AI12" s="77">
        <f t="shared" ref="AI12:AI20" si="13">AH12*100/AG12</f>
        <v>2.9055690072639226</v>
      </c>
      <c r="AJ12" s="76">
        <v>32</v>
      </c>
      <c r="AK12" s="80">
        <f t="shared" ref="AK12:AK20" si="14">AJ12*100/AG12</f>
        <v>7.7481840193704601</v>
      </c>
    </row>
    <row r="13" spans="1:37" ht="26.4" customHeight="1" x14ac:dyDescent="0.25">
      <c r="A13" s="74">
        <f t="shared" si="0"/>
        <v>3</v>
      </c>
      <c r="B13" s="75" t="s">
        <v>22</v>
      </c>
      <c r="C13" s="74" t="e">
        <f>Grundtabelle!#REF!</f>
        <v>#REF!</v>
      </c>
      <c r="D13" s="76" t="e">
        <f>Grundtabelle!#REF!</f>
        <v>#REF!</v>
      </c>
      <c r="E13" s="77" t="e">
        <f t="shared" si="1"/>
        <v>#REF!</v>
      </c>
      <c r="F13" s="76" t="e">
        <f>Grundtabelle!#REF!</f>
        <v>#REF!</v>
      </c>
      <c r="G13" s="78" t="e">
        <f t="shared" si="2"/>
        <v>#REF!</v>
      </c>
      <c r="H13" s="74" t="e">
        <f>Grundtabelle!#REF!</f>
        <v>#REF!</v>
      </c>
      <c r="I13" s="76" t="e">
        <f>Grundtabelle!#REF!</f>
        <v>#REF!</v>
      </c>
      <c r="J13" s="77" t="e">
        <f t="shared" si="3"/>
        <v>#REF!</v>
      </c>
      <c r="K13" s="76" t="e">
        <f>Grundtabelle!#REF!</f>
        <v>#REF!</v>
      </c>
      <c r="L13" s="79" t="e">
        <f t="shared" si="4"/>
        <v>#REF!</v>
      </c>
      <c r="M13" s="74" t="e">
        <f>Grundtabelle!#REF!</f>
        <v>#REF!</v>
      </c>
      <c r="N13" s="76" t="e">
        <f>Grundtabelle!#REF!</f>
        <v>#REF!</v>
      </c>
      <c r="O13" s="77" t="e">
        <f t="shared" si="5"/>
        <v>#REF!</v>
      </c>
      <c r="P13" s="76" t="e">
        <f>Grundtabelle!#REF!</f>
        <v>#REF!</v>
      </c>
      <c r="Q13" s="79" t="e">
        <f t="shared" si="6"/>
        <v>#REF!</v>
      </c>
      <c r="R13" s="74" t="e">
        <f>Grundtabelle!#REF!</f>
        <v>#REF!</v>
      </c>
      <c r="S13" s="76" t="e">
        <f>Grundtabelle!#REF!</f>
        <v>#REF!</v>
      </c>
      <c r="T13" s="77" t="e">
        <f t="shared" si="7"/>
        <v>#REF!</v>
      </c>
      <c r="U13" s="76" t="e">
        <f>Grundtabelle!#REF!</f>
        <v>#REF!</v>
      </c>
      <c r="V13" s="79" t="e">
        <f t="shared" si="8"/>
        <v>#REF!</v>
      </c>
      <c r="W13" s="74" t="e">
        <f>Grundtabelle!#REF!</f>
        <v>#REF!</v>
      </c>
      <c r="X13" s="76" t="e">
        <f>Grundtabelle!#REF!</f>
        <v>#REF!</v>
      </c>
      <c r="Y13" s="77" t="e">
        <f t="shared" si="9"/>
        <v>#REF!</v>
      </c>
      <c r="Z13" s="76" t="e">
        <f>Grundtabelle!#REF!</f>
        <v>#REF!</v>
      </c>
      <c r="AA13" s="79" t="e">
        <f t="shared" si="10"/>
        <v>#REF!</v>
      </c>
      <c r="AB13" s="74" t="e">
        <f>Grundtabelle!#REF!</f>
        <v>#REF!</v>
      </c>
      <c r="AC13" s="76" t="e">
        <f>Grundtabelle!#REF!</f>
        <v>#REF!</v>
      </c>
      <c r="AD13" s="77" t="e">
        <f t="shared" si="11"/>
        <v>#REF!</v>
      </c>
      <c r="AE13" s="76" t="e">
        <f>Grundtabelle!#REF!</f>
        <v>#REF!</v>
      </c>
      <c r="AF13" s="80" t="e">
        <f t="shared" si="12"/>
        <v>#REF!</v>
      </c>
      <c r="AG13" s="74">
        <v>473</v>
      </c>
      <c r="AH13" s="76">
        <v>59</v>
      </c>
      <c r="AI13" s="77">
        <f t="shared" si="13"/>
        <v>12.473572938689218</v>
      </c>
      <c r="AJ13" s="76">
        <v>70</v>
      </c>
      <c r="AK13" s="80">
        <f t="shared" si="14"/>
        <v>14.799154334038056</v>
      </c>
    </row>
    <row r="14" spans="1:37" ht="26.4" customHeight="1" x14ac:dyDescent="0.25">
      <c r="A14" s="74">
        <f t="shared" si="0"/>
        <v>4</v>
      </c>
      <c r="B14" s="75" t="s">
        <v>21</v>
      </c>
      <c r="C14" s="74" t="e">
        <f>Grundtabelle!#REF!</f>
        <v>#REF!</v>
      </c>
      <c r="D14" s="76" t="e">
        <f>Grundtabelle!#REF!</f>
        <v>#REF!</v>
      </c>
      <c r="E14" s="77" t="e">
        <f t="shared" si="1"/>
        <v>#REF!</v>
      </c>
      <c r="F14" s="76" t="e">
        <f>Grundtabelle!#REF!</f>
        <v>#REF!</v>
      </c>
      <c r="G14" s="78" t="e">
        <f t="shared" si="2"/>
        <v>#REF!</v>
      </c>
      <c r="H14" s="74" t="e">
        <f>Grundtabelle!#REF!</f>
        <v>#REF!</v>
      </c>
      <c r="I14" s="76" t="e">
        <f>Grundtabelle!#REF!</f>
        <v>#REF!</v>
      </c>
      <c r="J14" s="77" t="e">
        <f t="shared" si="3"/>
        <v>#REF!</v>
      </c>
      <c r="K14" s="76" t="e">
        <f>Grundtabelle!#REF!</f>
        <v>#REF!</v>
      </c>
      <c r="L14" s="79" t="e">
        <f t="shared" si="4"/>
        <v>#REF!</v>
      </c>
      <c r="M14" s="74" t="e">
        <f>Grundtabelle!#REF!</f>
        <v>#REF!</v>
      </c>
      <c r="N14" s="76" t="e">
        <f>Grundtabelle!#REF!</f>
        <v>#REF!</v>
      </c>
      <c r="O14" s="77" t="e">
        <f t="shared" si="5"/>
        <v>#REF!</v>
      </c>
      <c r="P14" s="76" t="e">
        <f>Grundtabelle!#REF!</f>
        <v>#REF!</v>
      </c>
      <c r="Q14" s="79" t="e">
        <f t="shared" si="6"/>
        <v>#REF!</v>
      </c>
      <c r="R14" s="74" t="e">
        <f>Grundtabelle!#REF!</f>
        <v>#REF!</v>
      </c>
      <c r="S14" s="76" t="e">
        <f>Grundtabelle!#REF!</f>
        <v>#REF!</v>
      </c>
      <c r="T14" s="77" t="e">
        <f t="shared" si="7"/>
        <v>#REF!</v>
      </c>
      <c r="U14" s="76" t="e">
        <f>Grundtabelle!#REF!</f>
        <v>#REF!</v>
      </c>
      <c r="V14" s="79" t="e">
        <f t="shared" si="8"/>
        <v>#REF!</v>
      </c>
      <c r="W14" s="74" t="e">
        <f>Grundtabelle!#REF!</f>
        <v>#REF!</v>
      </c>
      <c r="X14" s="76" t="e">
        <f>Grundtabelle!#REF!</f>
        <v>#REF!</v>
      </c>
      <c r="Y14" s="77" t="e">
        <f t="shared" si="9"/>
        <v>#REF!</v>
      </c>
      <c r="Z14" s="76" t="e">
        <f>Grundtabelle!#REF!</f>
        <v>#REF!</v>
      </c>
      <c r="AA14" s="79" t="e">
        <f t="shared" si="10"/>
        <v>#REF!</v>
      </c>
      <c r="AB14" s="74" t="e">
        <f>Grundtabelle!#REF!</f>
        <v>#REF!</v>
      </c>
      <c r="AC14" s="76" t="e">
        <f>Grundtabelle!#REF!</f>
        <v>#REF!</v>
      </c>
      <c r="AD14" s="77" t="e">
        <f t="shared" si="11"/>
        <v>#REF!</v>
      </c>
      <c r="AE14" s="76" t="e">
        <f>Grundtabelle!#REF!</f>
        <v>#REF!</v>
      </c>
      <c r="AF14" s="80" t="e">
        <f t="shared" si="12"/>
        <v>#REF!</v>
      </c>
      <c r="AG14" s="74">
        <v>592</v>
      </c>
      <c r="AH14" s="76">
        <v>39</v>
      </c>
      <c r="AI14" s="77">
        <f t="shared" si="13"/>
        <v>6.5878378378378377</v>
      </c>
      <c r="AJ14" s="76">
        <v>36</v>
      </c>
      <c r="AK14" s="80">
        <f t="shared" si="14"/>
        <v>6.0810810810810807</v>
      </c>
    </row>
    <row r="15" spans="1:37" ht="26.4" customHeight="1" x14ac:dyDescent="0.25">
      <c r="A15" s="74">
        <f t="shared" si="0"/>
        <v>5</v>
      </c>
      <c r="B15" s="75" t="s">
        <v>12</v>
      </c>
      <c r="C15" s="74" t="e">
        <f>Grundtabelle!#REF!</f>
        <v>#REF!</v>
      </c>
      <c r="D15" s="76" t="e">
        <f>Grundtabelle!#REF!</f>
        <v>#REF!</v>
      </c>
      <c r="E15" s="77" t="e">
        <f t="shared" si="1"/>
        <v>#REF!</v>
      </c>
      <c r="F15" s="76" t="e">
        <f>Grundtabelle!#REF!</f>
        <v>#REF!</v>
      </c>
      <c r="G15" s="78" t="e">
        <f t="shared" si="2"/>
        <v>#REF!</v>
      </c>
      <c r="H15" s="74" t="e">
        <f>Grundtabelle!#REF!</f>
        <v>#REF!</v>
      </c>
      <c r="I15" s="76" t="e">
        <f>Grundtabelle!#REF!</f>
        <v>#REF!</v>
      </c>
      <c r="J15" s="77" t="e">
        <f t="shared" si="3"/>
        <v>#REF!</v>
      </c>
      <c r="K15" s="76" t="e">
        <f>Grundtabelle!#REF!</f>
        <v>#REF!</v>
      </c>
      <c r="L15" s="79" t="e">
        <f t="shared" si="4"/>
        <v>#REF!</v>
      </c>
      <c r="M15" s="74" t="e">
        <f>Grundtabelle!#REF!</f>
        <v>#REF!</v>
      </c>
      <c r="N15" s="76" t="e">
        <f>Grundtabelle!#REF!</f>
        <v>#REF!</v>
      </c>
      <c r="O15" s="77" t="e">
        <f t="shared" si="5"/>
        <v>#REF!</v>
      </c>
      <c r="P15" s="76" t="e">
        <f>Grundtabelle!#REF!</f>
        <v>#REF!</v>
      </c>
      <c r="Q15" s="79" t="e">
        <f t="shared" si="6"/>
        <v>#REF!</v>
      </c>
      <c r="R15" s="74" t="e">
        <f>Grundtabelle!#REF!</f>
        <v>#REF!</v>
      </c>
      <c r="S15" s="76" t="e">
        <f>Grundtabelle!#REF!</f>
        <v>#REF!</v>
      </c>
      <c r="T15" s="77" t="e">
        <f t="shared" si="7"/>
        <v>#REF!</v>
      </c>
      <c r="U15" s="76" t="e">
        <f>Grundtabelle!#REF!</f>
        <v>#REF!</v>
      </c>
      <c r="V15" s="79" t="e">
        <f t="shared" si="8"/>
        <v>#REF!</v>
      </c>
      <c r="W15" s="74" t="e">
        <f>Grundtabelle!#REF!</f>
        <v>#REF!</v>
      </c>
      <c r="X15" s="76" t="e">
        <f>Grundtabelle!#REF!</f>
        <v>#REF!</v>
      </c>
      <c r="Y15" s="77" t="e">
        <f t="shared" si="9"/>
        <v>#REF!</v>
      </c>
      <c r="Z15" s="76" t="e">
        <f>Grundtabelle!#REF!</f>
        <v>#REF!</v>
      </c>
      <c r="AA15" s="79" t="e">
        <f t="shared" si="10"/>
        <v>#REF!</v>
      </c>
      <c r="AB15" s="74" t="e">
        <f>Grundtabelle!#REF!</f>
        <v>#REF!</v>
      </c>
      <c r="AC15" s="76" t="e">
        <f>Grundtabelle!#REF!</f>
        <v>#REF!</v>
      </c>
      <c r="AD15" s="77" t="e">
        <f t="shared" si="11"/>
        <v>#REF!</v>
      </c>
      <c r="AE15" s="76" t="e">
        <f>Grundtabelle!#REF!</f>
        <v>#REF!</v>
      </c>
      <c r="AF15" s="80" t="e">
        <f t="shared" si="12"/>
        <v>#REF!</v>
      </c>
      <c r="AG15" s="74">
        <v>555</v>
      </c>
      <c r="AH15" s="76">
        <v>32</v>
      </c>
      <c r="AI15" s="77">
        <f t="shared" si="13"/>
        <v>5.7657657657657655</v>
      </c>
      <c r="AJ15" s="76">
        <v>41</v>
      </c>
      <c r="AK15" s="80">
        <f t="shared" si="14"/>
        <v>7.3873873873873874</v>
      </c>
    </row>
    <row r="16" spans="1:37" ht="26.4" customHeight="1" x14ac:dyDescent="0.25">
      <c r="A16" s="74">
        <f t="shared" si="0"/>
        <v>6</v>
      </c>
      <c r="B16" s="75" t="s">
        <v>20</v>
      </c>
      <c r="C16" s="74" t="e">
        <f>Grundtabelle!#REF!</f>
        <v>#REF!</v>
      </c>
      <c r="D16" s="76" t="e">
        <f>Grundtabelle!#REF!</f>
        <v>#REF!</v>
      </c>
      <c r="E16" s="77" t="e">
        <f t="shared" si="1"/>
        <v>#REF!</v>
      </c>
      <c r="F16" s="76" t="e">
        <f>Grundtabelle!#REF!</f>
        <v>#REF!</v>
      </c>
      <c r="G16" s="78" t="e">
        <f t="shared" si="2"/>
        <v>#REF!</v>
      </c>
      <c r="H16" s="74" t="e">
        <f>Grundtabelle!#REF!</f>
        <v>#REF!</v>
      </c>
      <c r="I16" s="76" t="e">
        <f>Grundtabelle!#REF!</f>
        <v>#REF!</v>
      </c>
      <c r="J16" s="77" t="e">
        <f t="shared" si="3"/>
        <v>#REF!</v>
      </c>
      <c r="K16" s="76" t="e">
        <f>Grundtabelle!#REF!</f>
        <v>#REF!</v>
      </c>
      <c r="L16" s="79" t="e">
        <f t="shared" si="4"/>
        <v>#REF!</v>
      </c>
      <c r="M16" s="74" t="e">
        <f>Grundtabelle!#REF!</f>
        <v>#REF!</v>
      </c>
      <c r="N16" s="76" t="e">
        <f>Grundtabelle!#REF!</f>
        <v>#REF!</v>
      </c>
      <c r="O16" s="77" t="e">
        <f t="shared" si="5"/>
        <v>#REF!</v>
      </c>
      <c r="P16" s="76" t="e">
        <f>Grundtabelle!#REF!</f>
        <v>#REF!</v>
      </c>
      <c r="Q16" s="79" t="e">
        <f t="shared" si="6"/>
        <v>#REF!</v>
      </c>
      <c r="R16" s="74" t="e">
        <f>Grundtabelle!#REF!</f>
        <v>#REF!</v>
      </c>
      <c r="S16" s="76" t="e">
        <f>Grundtabelle!#REF!</f>
        <v>#REF!</v>
      </c>
      <c r="T16" s="77" t="e">
        <f t="shared" si="7"/>
        <v>#REF!</v>
      </c>
      <c r="U16" s="76" t="e">
        <f>Grundtabelle!#REF!</f>
        <v>#REF!</v>
      </c>
      <c r="V16" s="79" t="e">
        <f t="shared" si="8"/>
        <v>#REF!</v>
      </c>
      <c r="W16" s="74" t="e">
        <f>Grundtabelle!#REF!</f>
        <v>#REF!</v>
      </c>
      <c r="X16" s="76" t="e">
        <f>Grundtabelle!#REF!</f>
        <v>#REF!</v>
      </c>
      <c r="Y16" s="77" t="e">
        <f t="shared" si="9"/>
        <v>#REF!</v>
      </c>
      <c r="Z16" s="76" t="e">
        <f>Grundtabelle!#REF!</f>
        <v>#REF!</v>
      </c>
      <c r="AA16" s="79" t="e">
        <f t="shared" si="10"/>
        <v>#REF!</v>
      </c>
      <c r="AB16" s="74" t="e">
        <f>Grundtabelle!#REF!</f>
        <v>#REF!</v>
      </c>
      <c r="AC16" s="76" t="e">
        <f>Grundtabelle!#REF!</f>
        <v>#REF!</v>
      </c>
      <c r="AD16" s="77" t="e">
        <f t="shared" si="11"/>
        <v>#REF!</v>
      </c>
      <c r="AE16" s="76" t="e">
        <f>Grundtabelle!#REF!</f>
        <v>#REF!</v>
      </c>
      <c r="AF16" s="80" t="e">
        <f t="shared" si="12"/>
        <v>#REF!</v>
      </c>
      <c r="AG16" s="74">
        <v>460</v>
      </c>
      <c r="AH16" s="76">
        <v>0</v>
      </c>
      <c r="AI16" s="77">
        <f t="shared" si="13"/>
        <v>0</v>
      </c>
      <c r="AJ16" s="76">
        <v>32</v>
      </c>
      <c r="AK16" s="80">
        <f t="shared" si="14"/>
        <v>6.9565217391304346</v>
      </c>
    </row>
    <row r="17" spans="1:37" ht="26.4" customHeight="1" x14ac:dyDescent="0.25">
      <c r="A17" s="74">
        <f t="shared" si="0"/>
        <v>7</v>
      </c>
      <c r="B17" s="75" t="s">
        <v>14</v>
      </c>
      <c r="C17" s="74" t="e">
        <f>Grundtabelle!#REF!</f>
        <v>#REF!</v>
      </c>
      <c r="D17" s="76" t="e">
        <f>Grundtabelle!#REF!</f>
        <v>#REF!</v>
      </c>
      <c r="E17" s="77" t="e">
        <f t="shared" si="1"/>
        <v>#REF!</v>
      </c>
      <c r="F17" s="76" t="e">
        <f>Grundtabelle!#REF!</f>
        <v>#REF!</v>
      </c>
      <c r="G17" s="78" t="e">
        <f t="shared" si="2"/>
        <v>#REF!</v>
      </c>
      <c r="H17" s="74" t="e">
        <f>Grundtabelle!#REF!</f>
        <v>#REF!</v>
      </c>
      <c r="I17" s="76" t="e">
        <f>Grundtabelle!#REF!</f>
        <v>#REF!</v>
      </c>
      <c r="J17" s="77" t="e">
        <f t="shared" si="3"/>
        <v>#REF!</v>
      </c>
      <c r="K17" s="76" t="e">
        <f>Grundtabelle!#REF!</f>
        <v>#REF!</v>
      </c>
      <c r="L17" s="79" t="e">
        <f t="shared" si="4"/>
        <v>#REF!</v>
      </c>
      <c r="M17" s="74" t="e">
        <f>Grundtabelle!#REF!</f>
        <v>#REF!</v>
      </c>
      <c r="N17" s="76" t="e">
        <f>Grundtabelle!#REF!</f>
        <v>#REF!</v>
      </c>
      <c r="O17" s="77" t="e">
        <f t="shared" si="5"/>
        <v>#REF!</v>
      </c>
      <c r="P17" s="76" t="e">
        <f>Grundtabelle!#REF!</f>
        <v>#REF!</v>
      </c>
      <c r="Q17" s="79" t="e">
        <f t="shared" si="6"/>
        <v>#REF!</v>
      </c>
      <c r="R17" s="74" t="e">
        <f>Grundtabelle!#REF!</f>
        <v>#REF!</v>
      </c>
      <c r="S17" s="76" t="e">
        <f>Grundtabelle!#REF!</f>
        <v>#REF!</v>
      </c>
      <c r="T17" s="77" t="e">
        <f t="shared" si="7"/>
        <v>#REF!</v>
      </c>
      <c r="U17" s="76" t="e">
        <f>Grundtabelle!#REF!</f>
        <v>#REF!</v>
      </c>
      <c r="V17" s="79" t="e">
        <f t="shared" si="8"/>
        <v>#REF!</v>
      </c>
      <c r="W17" s="74" t="e">
        <f>Grundtabelle!#REF!</f>
        <v>#REF!</v>
      </c>
      <c r="X17" s="76" t="e">
        <f>Grundtabelle!#REF!</f>
        <v>#REF!</v>
      </c>
      <c r="Y17" s="77" t="e">
        <f t="shared" si="9"/>
        <v>#REF!</v>
      </c>
      <c r="Z17" s="76" t="e">
        <f>Grundtabelle!#REF!</f>
        <v>#REF!</v>
      </c>
      <c r="AA17" s="79" t="e">
        <f t="shared" si="10"/>
        <v>#REF!</v>
      </c>
      <c r="AB17" s="74" t="e">
        <f>Grundtabelle!#REF!</f>
        <v>#REF!</v>
      </c>
      <c r="AC17" s="76" t="e">
        <f>Grundtabelle!#REF!</f>
        <v>#REF!</v>
      </c>
      <c r="AD17" s="77" t="e">
        <f t="shared" si="11"/>
        <v>#REF!</v>
      </c>
      <c r="AE17" s="76" t="e">
        <f>Grundtabelle!#REF!</f>
        <v>#REF!</v>
      </c>
      <c r="AF17" s="80" t="e">
        <f t="shared" si="12"/>
        <v>#REF!</v>
      </c>
      <c r="AG17" s="74">
        <v>589</v>
      </c>
      <c r="AH17" s="76">
        <v>13</v>
      </c>
      <c r="AI17" s="77">
        <f t="shared" si="13"/>
        <v>2.2071307300509337</v>
      </c>
      <c r="AJ17" s="76">
        <v>32</v>
      </c>
      <c r="AK17" s="80">
        <f t="shared" si="14"/>
        <v>5.4329371816638368</v>
      </c>
    </row>
    <row r="18" spans="1:37" ht="26.4" customHeight="1" x14ac:dyDescent="0.25">
      <c r="A18" s="74">
        <f t="shared" si="0"/>
        <v>8</v>
      </c>
      <c r="B18" s="81" t="s">
        <v>16</v>
      </c>
      <c r="C18" s="74" t="e">
        <f>Grundtabelle!#REF!</f>
        <v>#REF!</v>
      </c>
      <c r="D18" s="76" t="e">
        <f>Grundtabelle!#REF!</f>
        <v>#REF!</v>
      </c>
      <c r="E18" s="77" t="e">
        <f t="shared" si="1"/>
        <v>#REF!</v>
      </c>
      <c r="F18" s="76" t="e">
        <f>Grundtabelle!#REF!</f>
        <v>#REF!</v>
      </c>
      <c r="G18" s="78" t="e">
        <f t="shared" si="2"/>
        <v>#REF!</v>
      </c>
      <c r="H18" s="74" t="e">
        <f>Grundtabelle!#REF!</f>
        <v>#REF!</v>
      </c>
      <c r="I18" s="76" t="e">
        <f>Grundtabelle!#REF!</f>
        <v>#REF!</v>
      </c>
      <c r="J18" s="77" t="e">
        <f t="shared" si="3"/>
        <v>#REF!</v>
      </c>
      <c r="K18" s="76" t="e">
        <f>Grundtabelle!#REF!</f>
        <v>#REF!</v>
      </c>
      <c r="L18" s="79" t="e">
        <f t="shared" si="4"/>
        <v>#REF!</v>
      </c>
      <c r="M18" s="74" t="e">
        <f>Grundtabelle!#REF!</f>
        <v>#REF!</v>
      </c>
      <c r="N18" s="76" t="e">
        <f>Grundtabelle!#REF!</f>
        <v>#REF!</v>
      </c>
      <c r="O18" s="77" t="e">
        <f t="shared" si="5"/>
        <v>#REF!</v>
      </c>
      <c r="P18" s="76" t="e">
        <f>Grundtabelle!#REF!</f>
        <v>#REF!</v>
      </c>
      <c r="Q18" s="79" t="e">
        <f t="shared" si="6"/>
        <v>#REF!</v>
      </c>
      <c r="R18" s="74" t="e">
        <f>Grundtabelle!#REF!</f>
        <v>#REF!</v>
      </c>
      <c r="S18" s="76" t="e">
        <f>Grundtabelle!#REF!</f>
        <v>#REF!</v>
      </c>
      <c r="T18" s="77" t="e">
        <f t="shared" si="7"/>
        <v>#REF!</v>
      </c>
      <c r="U18" s="76" t="e">
        <f>Grundtabelle!#REF!</f>
        <v>#REF!</v>
      </c>
      <c r="V18" s="79" t="e">
        <f t="shared" si="8"/>
        <v>#REF!</v>
      </c>
      <c r="W18" s="74" t="e">
        <f>Grundtabelle!#REF!</f>
        <v>#REF!</v>
      </c>
      <c r="X18" s="76" t="e">
        <f>Grundtabelle!#REF!</f>
        <v>#REF!</v>
      </c>
      <c r="Y18" s="77" t="e">
        <f t="shared" si="9"/>
        <v>#REF!</v>
      </c>
      <c r="Z18" s="76" t="e">
        <f>Grundtabelle!#REF!</f>
        <v>#REF!</v>
      </c>
      <c r="AA18" s="79" t="e">
        <f t="shared" si="10"/>
        <v>#REF!</v>
      </c>
      <c r="AB18" s="74" t="e">
        <f>Grundtabelle!#REF!</f>
        <v>#REF!</v>
      </c>
      <c r="AC18" s="76" t="e">
        <f>Grundtabelle!#REF!</f>
        <v>#REF!</v>
      </c>
      <c r="AD18" s="77" t="e">
        <f t="shared" si="11"/>
        <v>#REF!</v>
      </c>
      <c r="AE18" s="76" t="e">
        <f>Grundtabelle!#REF!</f>
        <v>#REF!</v>
      </c>
      <c r="AF18" s="80" t="e">
        <f t="shared" si="12"/>
        <v>#REF!</v>
      </c>
      <c r="AG18" s="74">
        <v>369</v>
      </c>
      <c r="AH18" s="76">
        <v>8</v>
      </c>
      <c r="AI18" s="77">
        <f t="shared" si="13"/>
        <v>2.168021680216802</v>
      </c>
      <c r="AJ18" s="76">
        <v>26</v>
      </c>
      <c r="AK18" s="80">
        <f t="shared" si="14"/>
        <v>7.0460704607046072</v>
      </c>
    </row>
    <row r="19" spans="1:37" ht="26.4" customHeight="1" thickBot="1" x14ac:dyDescent="0.3">
      <c r="A19" s="82">
        <f t="shared" si="0"/>
        <v>9</v>
      </c>
      <c r="B19" s="83" t="s">
        <v>17</v>
      </c>
      <c r="C19" s="82" t="e">
        <f>Grundtabelle!#REF!</f>
        <v>#REF!</v>
      </c>
      <c r="D19" s="84" t="e">
        <f>Grundtabelle!#REF!</f>
        <v>#REF!</v>
      </c>
      <c r="E19" s="85" t="e">
        <f t="shared" si="1"/>
        <v>#REF!</v>
      </c>
      <c r="F19" s="84" t="e">
        <f>Grundtabelle!#REF!</f>
        <v>#REF!</v>
      </c>
      <c r="G19" s="86" t="e">
        <f t="shared" si="2"/>
        <v>#REF!</v>
      </c>
      <c r="H19" s="82" t="e">
        <f>Grundtabelle!#REF!</f>
        <v>#REF!</v>
      </c>
      <c r="I19" s="84" t="e">
        <f>Grundtabelle!#REF!</f>
        <v>#REF!</v>
      </c>
      <c r="J19" s="85" t="e">
        <f t="shared" si="3"/>
        <v>#REF!</v>
      </c>
      <c r="K19" s="84" t="e">
        <f>Grundtabelle!#REF!</f>
        <v>#REF!</v>
      </c>
      <c r="L19" s="87" t="e">
        <f t="shared" si="4"/>
        <v>#REF!</v>
      </c>
      <c r="M19" s="82" t="e">
        <f>Grundtabelle!#REF!</f>
        <v>#REF!</v>
      </c>
      <c r="N19" s="84" t="e">
        <f>Grundtabelle!#REF!</f>
        <v>#REF!</v>
      </c>
      <c r="O19" s="85" t="e">
        <f t="shared" si="5"/>
        <v>#REF!</v>
      </c>
      <c r="P19" s="84" t="e">
        <f>Grundtabelle!#REF!</f>
        <v>#REF!</v>
      </c>
      <c r="Q19" s="87" t="e">
        <f t="shared" si="6"/>
        <v>#REF!</v>
      </c>
      <c r="R19" s="82" t="e">
        <f>Grundtabelle!#REF!</f>
        <v>#REF!</v>
      </c>
      <c r="S19" s="84" t="e">
        <f>Grundtabelle!#REF!</f>
        <v>#REF!</v>
      </c>
      <c r="T19" s="85" t="e">
        <f t="shared" si="7"/>
        <v>#REF!</v>
      </c>
      <c r="U19" s="84" t="e">
        <f>Grundtabelle!#REF!</f>
        <v>#REF!</v>
      </c>
      <c r="V19" s="87" t="e">
        <f t="shared" si="8"/>
        <v>#REF!</v>
      </c>
      <c r="W19" s="82" t="e">
        <f>Grundtabelle!#REF!</f>
        <v>#REF!</v>
      </c>
      <c r="X19" s="84" t="e">
        <f>Grundtabelle!#REF!</f>
        <v>#REF!</v>
      </c>
      <c r="Y19" s="85" t="e">
        <f t="shared" si="9"/>
        <v>#REF!</v>
      </c>
      <c r="Z19" s="84" t="e">
        <f>Grundtabelle!#REF!</f>
        <v>#REF!</v>
      </c>
      <c r="AA19" s="87" t="e">
        <f t="shared" si="10"/>
        <v>#REF!</v>
      </c>
      <c r="AB19" s="82" t="e">
        <f>Grundtabelle!#REF!</f>
        <v>#REF!</v>
      </c>
      <c r="AC19" s="84" t="e">
        <f>Grundtabelle!#REF!</f>
        <v>#REF!</v>
      </c>
      <c r="AD19" s="85" t="e">
        <f t="shared" si="11"/>
        <v>#REF!</v>
      </c>
      <c r="AE19" s="84" t="e">
        <f>Grundtabelle!#REF!</f>
        <v>#REF!</v>
      </c>
      <c r="AF19" s="88" t="e">
        <f t="shared" si="12"/>
        <v>#REF!</v>
      </c>
      <c r="AG19" s="82">
        <v>559</v>
      </c>
      <c r="AH19" s="84">
        <v>50</v>
      </c>
      <c r="AI19" s="85">
        <f t="shared" si="13"/>
        <v>8.9445438282647594</v>
      </c>
      <c r="AJ19" s="84">
        <v>19</v>
      </c>
      <c r="AK19" s="88">
        <f t="shared" si="14"/>
        <v>3.3989266547406083</v>
      </c>
    </row>
    <row r="20" spans="1:37" ht="26.4" customHeight="1" thickBot="1" x14ac:dyDescent="0.3">
      <c r="A20" s="89" t="s">
        <v>30</v>
      </c>
      <c r="B20" s="90"/>
      <c r="C20" s="91" t="e">
        <f t="shared" ref="C20:Z20" si="15">SUM(C11:C19)</f>
        <v>#REF!</v>
      </c>
      <c r="D20" s="92" t="e">
        <f t="shared" si="15"/>
        <v>#REF!</v>
      </c>
      <c r="E20" s="93" t="e">
        <f t="shared" si="1"/>
        <v>#REF!</v>
      </c>
      <c r="F20" s="94" t="e">
        <f t="shared" si="15"/>
        <v>#REF!</v>
      </c>
      <c r="G20" s="95" t="e">
        <f>F20*100/C20</f>
        <v>#REF!</v>
      </c>
      <c r="H20" s="91" t="e">
        <f t="shared" si="15"/>
        <v>#REF!</v>
      </c>
      <c r="I20" s="92" t="e">
        <f t="shared" si="15"/>
        <v>#REF!</v>
      </c>
      <c r="J20" s="95" t="e">
        <f t="shared" si="3"/>
        <v>#REF!</v>
      </c>
      <c r="K20" s="94" t="e">
        <f t="shared" si="15"/>
        <v>#REF!</v>
      </c>
      <c r="L20" s="95" t="e">
        <f t="shared" si="4"/>
        <v>#REF!</v>
      </c>
      <c r="M20" s="91" t="e">
        <f t="shared" si="15"/>
        <v>#REF!</v>
      </c>
      <c r="N20" s="92" t="e">
        <f t="shared" si="15"/>
        <v>#REF!</v>
      </c>
      <c r="O20" s="95" t="e">
        <f t="shared" si="5"/>
        <v>#REF!</v>
      </c>
      <c r="P20" s="94" t="e">
        <f t="shared" si="15"/>
        <v>#REF!</v>
      </c>
      <c r="Q20" s="95" t="e">
        <f t="shared" si="6"/>
        <v>#REF!</v>
      </c>
      <c r="R20" s="91" t="e">
        <f t="shared" si="15"/>
        <v>#REF!</v>
      </c>
      <c r="S20" s="92" t="e">
        <f t="shared" si="15"/>
        <v>#REF!</v>
      </c>
      <c r="T20" s="95" t="e">
        <f t="shared" si="7"/>
        <v>#REF!</v>
      </c>
      <c r="U20" s="94" t="e">
        <f t="shared" si="15"/>
        <v>#REF!</v>
      </c>
      <c r="V20" s="95" t="e">
        <f t="shared" si="8"/>
        <v>#REF!</v>
      </c>
      <c r="W20" s="91" t="e">
        <f t="shared" si="15"/>
        <v>#REF!</v>
      </c>
      <c r="X20" s="92" t="e">
        <f t="shared" si="15"/>
        <v>#REF!</v>
      </c>
      <c r="Y20" s="95" t="e">
        <f t="shared" si="9"/>
        <v>#REF!</v>
      </c>
      <c r="Z20" s="94" t="e">
        <f t="shared" si="15"/>
        <v>#REF!</v>
      </c>
      <c r="AA20" s="95" t="e">
        <f t="shared" si="10"/>
        <v>#REF!</v>
      </c>
      <c r="AB20" s="91" t="e">
        <f>SUM(AB11:AB19)</f>
        <v>#REF!</v>
      </c>
      <c r="AC20" s="92" t="e">
        <f>SUM(AC11:AC19)</f>
        <v>#REF!</v>
      </c>
      <c r="AD20" s="95" t="e">
        <f t="shared" si="11"/>
        <v>#REF!</v>
      </c>
      <c r="AE20" s="94" t="e">
        <f>SUM(AE11:AE19)</f>
        <v>#REF!</v>
      </c>
      <c r="AF20" s="96" t="e">
        <f t="shared" si="12"/>
        <v>#REF!</v>
      </c>
      <c r="AG20" s="91">
        <f>SUM(AG11:AG19)</f>
        <v>4552</v>
      </c>
      <c r="AH20" s="92">
        <f>SUM(AH11:AH19)</f>
        <v>222</v>
      </c>
      <c r="AI20" s="95">
        <f t="shared" si="13"/>
        <v>4.8769771528998245</v>
      </c>
      <c r="AJ20" s="94">
        <f>SUM(AJ11:AJ19)</f>
        <v>308</v>
      </c>
      <c r="AK20" s="96">
        <f t="shared" si="14"/>
        <v>6.7662565905096663</v>
      </c>
    </row>
    <row r="21" spans="1:37" s="97" customFormat="1" x14ac:dyDescent="0.25">
      <c r="B21" s="98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</row>
    <row r="22" spans="1:37" s="97" customFormat="1" x14ac:dyDescent="0.25">
      <c r="B22" s="98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</row>
    <row r="23" spans="1:37" s="97" customFormat="1" x14ac:dyDescent="0.25">
      <c r="B23" s="98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</row>
    <row r="24" spans="1:37" s="97" customFormat="1" x14ac:dyDescent="0.25">
      <c r="B24" s="98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</row>
    <row r="25" spans="1:37" s="97" customFormat="1" x14ac:dyDescent="0.25">
      <c r="B25" s="98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</row>
    <row r="26" spans="1:37" s="97" customFormat="1" x14ac:dyDescent="0.25">
      <c r="B26" s="98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</row>
    <row r="27" spans="1:37" s="97" customFormat="1" x14ac:dyDescent="0.25">
      <c r="B27" s="98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</row>
    <row r="28" spans="1:37" s="97" customFormat="1" x14ac:dyDescent="0.25">
      <c r="B28" s="98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</row>
    <row r="29" spans="1:37" s="97" customFormat="1" x14ac:dyDescent="0.25">
      <c r="B29" s="98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</row>
    <row r="30" spans="1:37" s="97" customFormat="1" x14ac:dyDescent="0.25">
      <c r="B30" s="98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</row>
    <row r="31" spans="1:37" s="97" customFormat="1" x14ac:dyDescent="0.25">
      <c r="B31" s="98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</row>
    <row r="32" spans="1:37" s="97" customFormat="1" x14ac:dyDescent="0.25">
      <c r="B32" s="98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</row>
    <row r="33" spans="2:37" s="97" customFormat="1" x14ac:dyDescent="0.25">
      <c r="B33" s="98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</row>
    <row r="34" spans="2:37" s="97" customFormat="1" x14ac:dyDescent="0.25">
      <c r="B34" s="98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</row>
    <row r="35" spans="2:37" s="97" customFormat="1" x14ac:dyDescent="0.25">
      <c r="B35" s="98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</row>
    <row r="36" spans="2:37" s="97" customFormat="1" x14ac:dyDescent="0.25">
      <c r="B36" s="98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</row>
    <row r="37" spans="2:37" s="97" customFormat="1" x14ac:dyDescent="0.25">
      <c r="B37" s="98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</row>
    <row r="38" spans="2:37" s="97" customFormat="1" x14ac:dyDescent="0.25">
      <c r="B38" s="98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</row>
    <row r="39" spans="2:37" s="97" customFormat="1" x14ac:dyDescent="0.25">
      <c r="B39" s="98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</row>
    <row r="40" spans="2:37" s="97" customFormat="1" x14ac:dyDescent="0.25">
      <c r="B40" s="98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</row>
    <row r="41" spans="2:37" s="97" customFormat="1" x14ac:dyDescent="0.25">
      <c r="B41" s="98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</row>
    <row r="42" spans="2:37" s="97" customFormat="1" x14ac:dyDescent="0.25">
      <c r="B42" s="98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</row>
    <row r="43" spans="2:37" s="97" customFormat="1" x14ac:dyDescent="0.25">
      <c r="B43" s="98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</row>
    <row r="44" spans="2:37" s="97" customFormat="1" x14ac:dyDescent="0.25">
      <c r="B44" s="98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</row>
    <row r="45" spans="2:37" s="97" customFormat="1" x14ac:dyDescent="0.25">
      <c r="B45" s="98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</row>
    <row r="46" spans="2:37" s="97" customFormat="1" x14ac:dyDescent="0.25">
      <c r="B46" s="98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</row>
    <row r="47" spans="2:37" s="97" customFormat="1" x14ac:dyDescent="0.25">
      <c r="B47" s="98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</row>
    <row r="48" spans="2:37" s="97" customFormat="1" x14ac:dyDescent="0.25">
      <c r="B48" s="98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</row>
    <row r="49" spans="2:37" s="97" customFormat="1" x14ac:dyDescent="0.25">
      <c r="B49" s="98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</row>
    <row r="50" spans="2:37" s="97" customFormat="1" x14ac:dyDescent="0.25">
      <c r="B50" s="98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</row>
    <row r="51" spans="2:37" s="97" customFormat="1" x14ac:dyDescent="0.25">
      <c r="B51" s="98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</row>
    <row r="52" spans="2:37" s="97" customFormat="1" x14ac:dyDescent="0.25">
      <c r="B52" s="98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</row>
    <row r="53" spans="2:37" s="97" customFormat="1" x14ac:dyDescent="0.25">
      <c r="B53" s="98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</row>
    <row r="54" spans="2:37" s="97" customFormat="1" x14ac:dyDescent="0.25">
      <c r="B54" s="98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</row>
    <row r="55" spans="2:37" s="97" customFormat="1" x14ac:dyDescent="0.25">
      <c r="B55" s="98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</row>
    <row r="56" spans="2:37" s="97" customFormat="1" x14ac:dyDescent="0.25">
      <c r="B56" s="98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</row>
    <row r="57" spans="2:37" s="97" customFormat="1" x14ac:dyDescent="0.25">
      <c r="B57" s="98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</row>
    <row r="58" spans="2:37" s="97" customFormat="1" x14ac:dyDescent="0.25">
      <c r="B58" s="98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</row>
    <row r="59" spans="2:37" s="97" customFormat="1" x14ac:dyDescent="0.25">
      <c r="B59" s="98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</row>
    <row r="60" spans="2:37" s="97" customFormat="1" x14ac:dyDescent="0.25">
      <c r="B60" s="98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</row>
    <row r="61" spans="2:37" s="97" customFormat="1" x14ac:dyDescent="0.25">
      <c r="B61" s="98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</row>
    <row r="62" spans="2:37" s="97" customFormat="1" x14ac:dyDescent="0.25">
      <c r="B62" s="98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</row>
    <row r="63" spans="2:37" s="97" customFormat="1" x14ac:dyDescent="0.25">
      <c r="B63" s="98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</row>
    <row r="64" spans="2:37" s="97" customFormat="1" x14ac:dyDescent="0.25">
      <c r="B64" s="98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</row>
    <row r="65" spans="2:37" s="97" customFormat="1" x14ac:dyDescent="0.25">
      <c r="B65" s="98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</row>
    <row r="66" spans="2:37" s="97" customFormat="1" x14ac:dyDescent="0.25">
      <c r="B66" s="98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</row>
    <row r="67" spans="2:37" s="97" customFormat="1" x14ac:dyDescent="0.25">
      <c r="B67" s="98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</row>
    <row r="68" spans="2:37" s="97" customFormat="1" x14ac:dyDescent="0.25">
      <c r="B68" s="98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</row>
    <row r="69" spans="2:37" s="97" customFormat="1" x14ac:dyDescent="0.25">
      <c r="B69" s="98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</row>
    <row r="70" spans="2:37" s="97" customFormat="1" x14ac:dyDescent="0.25">
      <c r="B70" s="98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</row>
    <row r="71" spans="2:37" s="97" customFormat="1" x14ac:dyDescent="0.25">
      <c r="B71" s="98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</row>
    <row r="72" spans="2:37" s="97" customFormat="1" x14ac:dyDescent="0.25">
      <c r="B72" s="98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</row>
    <row r="73" spans="2:37" s="97" customFormat="1" x14ac:dyDescent="0.25">
      <c r="B73" s="98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</row>
    <row r="74" spans="2:37" s="97" customFormat="1" x14ac:dyDescent="0.25">
      <c r="B74" s="98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</row>
    <row r="75" spans="2:37" s="97" customFormat="1" x14ac:dyDescent="0.25">
      <c r="B75" s="98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</row>
    <row r="76" spans="2:37" s="97" customFormat="1" x14ac:dyDescent="0.25">
      <c r="B76" s="98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</row>
    <row r="77" spans="2:37" s="97" customFormat="1" x14ac:dyDescent="0.25">
      <c r="B77" s="98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</row>
    <row r="78" spans="2:37" s="97" customFormat="1" x14ac:dyDescent="0.25">
      <c r="B78" s="98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</row>
    <row r="79" spans="2:37" s="97" customFormat="1" x14ac:dyDescent="0.25">
      <c r="B79" s="98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</row>
    <row r="80" spans="2:37" s="97" customFormat="1" x14ac:dyDescent="0.25">
      <c r="B80" s="98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</row>
    <row r="81" spans="2:37" s="97" customFormat="1" x14ac:dyDescent="0.25">
      <c r="B81" s="98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</row>
    <row r="82" spans="2:37" s="97" customFormat="1" x14ac:dyDescent="0.25">
      <c r="B82" s="98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</row>
    <row r="83" spans="2:37" s="97" customFormat="1" x14ac:dyDescent="0.25">
      <c r="B83" s="98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</row>
    <row r="84" spans="2:37" s="97" customFormat="1" x14ac:dyDescent="0.25">
      <c r="B84" s="98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</row>
    <row r="85" spans="2:37" s="97" customFormat="1" x14ac:dyDescent="0.25">
      <c r="B85" s="98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</row>
    <row r="86" spans="2:37" s="97" customFormat="1" x14ac:dyDescent="0.25">
      <c r="B86" s="98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</row>
    <row r="87" spans="2:37" s="97" customFormat="1" x14ac:dyDescent="0.25">
      <c r="B87" s="98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</row>
    <row r="88" spans="2:37" s="97" customFormat="1" x14ac:dyDescent="0.25">
      <c r="B88" s="98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</row>
    <row r="89" spans="2:37" s="97" customFormat="1" x14ac:dyDescent="0.25">
      <c r="B89" s="98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</row>
    <row r="90" spans="2:37" s="97" customFormat="1" x14ac:dyDescent="0.25">
      <c r="B90" s="98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</row>
    <row r="91" spans="2:37" s="97" customFormat="1" x14ac:dyDescent="0.25">
      <c r="B91" s="98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</row>
    <row r="92" spans="2:37" s="97" customFormat="1" x14ac:dyDescent="0.25">
      <c r="B92" s="98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</row>
    <row r="93" spans="2:37" s="97" customFormat="1" x14ac:dyDescent="0.25">
      <c r="B93" s="98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</row>
    <row r="94" spans="2:37" s="97" customFormat="1" x14ac:dyDescent="0.25">
      <c r="B94" s="98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</row>
    <row r="95" spans="2:37" s="97" customFormat="1" x14ac:dyDescent="0.25">
      <c r="B95" s="98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</row>
    <row r="96" spans="2:37" s="97" customFormat="1" x14ac:dyDescent="0.25">
      <c r="B96" s="98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</row>
    <row r="97" spans="2:37" s="97" customFormat="1" x14ac:dyDescent="0.25">
      <c r="B97" s="98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</row>
    <row r="98" spans="2:37" s="97" customFormat="1" x14ac:dyDescent="0.25">
      <c r="B98" s="98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</row>
    <row r="99" spans="2:37" s="97" customFormat="1" x14ac:dyDescent="0.25">
      <c r="B99" s="98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</row>
    <row r="100" spans="2:37" s="97" customFormat="1" x14ac:dyDescent="0.25">
      <c r="B100" s="98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</row>
    <row r="101" spans="2:37" s="97" customFormat="1" x14ac:dyDescent="0.25">
      <c r="B101" s="98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</row>
    <row r="102" spans="2:37" s="97" customFormat="1" x14ac:dyDescent="0.25">
      <c r="B102" s="98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</row>
    <row r="103" spans="2:37" s="97" customFormat="1" x14ac:dyDescent="0.25">
      <c r="B103" s="98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</row>
    <row r="104" spans="2:37" s="97" customFormat="1" x14ac:dyDescent="0.25">
      <c r="B104" s="98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</row>
    <row r="105" spans="2:37" s="97" customFormat="1" x14ac:dyDescent="0.25">
      <c r="B105" s="98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</row>
    <row r="106" spans="2:37" s="97" customFormat="1" x14ac:dyDescent="0.25">
      <c r="B106" s="98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</row>
    <row r="107" spans="2:37" s="97" customFormat="1" x14ac:dyDescent="0.25">
      <c r="B107" s="98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</row>
    <row r="108" spans="2:37" s="97" customFormat="1" x14ac:dyDescent="0.25">
      <c r="B108" s="98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</row>
    <row r="109" spans="2:37" s="97" customFormat="1" x14ac:dyDescent="0.25">
      <c r="B109" s="98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</row>
    <row r="110" spans="2:37" s="97" customFormat="1" x14ac:dyDescent="0.25">
      <c r="B110" s="98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</row>
    <row r="111" spans="2:37" s="97" customFormat="1" x14ac:dyDescent="0.25">
      <c r="B111" s="98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</row>
    <row r="112" spans="2:37" s="97" customFormat="1" x14ac:dyDescent="0.25">
      <c r="B112" s="98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</row>
    <row r="113" spans="2:37" s="97" customFormat="1" x14ac:dyDescent="0.25">
      <c r="B113" s="98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</row>
    <row r="114" spans="2:37" s="97" customFormat="1" x14ac:dyDescent="0.25">
      <c r="B114" s="98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</row>
    <row r="115" spans="2:37" s="97" customFormat="1" x14ac:dyDescent="0.25">
      <c r="B115" s="98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</row>
    <row r="116" spans="2:37" s="97" customFormat="1" x14ac:dyDescent="0.25">
      <c r="B116" s="98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</row>
    <row r="117" spans="2:37" s="97" customFormat="1" x14ac:dyDescent="0.25">
      <c r="B117" s="98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</row>
    <row r="118" spans="2:37" s="97" customFormat="1" x14ac:dyDescent="0.25">
      <c r="B118" s="98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</row>
    <row r="119" spans="2:37" s="97" customFormat="1" x14ac:dyDescent="0.25">
      <c r="B119" s="98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</row>
    <row r="120" spans="2:37" s="97" customFormat="1" x14ac:dyDescent="0.25">
      <c r="B120" s="98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</row>
    <row r="121" spans="2:37" s="97" customFormat="1" x14ac:dyDescent="0.25">
      <c r="B121" s="98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</row>
    <row r="122" spans="2:37" s="97" customFormat="1" x14ac:dyDescent="0.25">
      <c r="B122" s="98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</row>
    <row r="123" spans="2:37" s="97" customFormat="1" x14ac:dyDescent="0.25">
      <c r="B123" s="98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</row>
    <row r="124" spans="2:37" s="97" customFormat="1" x14ac:dyDescent="0.25">
      <c r="B124" s="98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</row>
    <row r="125" spans="2:37" s="97" customFormat="1" x14ac:dyDescent="0.25">
      <c r="B125" s="98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</row>
    <row r="126" spans="2:37" s="97" customFormat="1" x14ac:dyDescent="0.25">
      <c r="B126" s="98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</row>
    <row r="127" spans="2:37" s="97" customFormat="1" x14ac:dyDescent="0.25">
      <c r="B127" s="98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</row>
    <row r="128" spans="2:37" s="97" customFormat="1" x14ac:dyDescent="0.25">
      <c r="B128" s="98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</row>
    <row r="129" spans="2:37" s="97" customFormat="1" x14ac:dyDescent="0.25">
      <c r="B129" s="98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</row>
    <row r="130" spans="2:37" s="97" customFormat="1" x14ac:dyDescent="0.25">
      <c r="B130" s="98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</row>
    <row r="131" spans="2:37" s="97" customFormat="1" x14ac:dyDescent="0.25">
      <c r="B131" s="98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</row>
    <row r="132" spans="2:37" s="97" customFormat="1" x14ac:dyDescent="0.25">
      <c r="B132" s="98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</row>
    <row r="133" spans="2:37" s="97" customFormat="1" x14ac:dyDescent="0.25">
      <c r="B133" s="98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</row>
    <row r="134" spans="2:37" s="97" customFormat="1" x14ac:dyDescent="0.25">
      <c r="B134" s="98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</row>
    <row r="135" spans="2:37" s="97" customFormat="1" x14ac:dyDescent="0.25">
      <c r="B135" s="98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</row>
    <row r="136" spans="2:37" s="97" customFormat="1" x14ac:dyDescent="0.25">
      <c r="B136" s="98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</row>
    <row r="137" spans="2:37" s="97" customFormat="1" x14ac:dyDescent="0.25">
      <c r="B137" s="98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45"/>
    </row>
    <row r="138" spans="2:37" s="97" customFormat="1" x14ac:dyDescent="0.25">
      <c r="B138" s="98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45"/>
    </row>
    <row r="139" spans="2:37" s="97" customFormat="1" x14ac:dyDescent="0.25">
      <c r="B139" s="98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</row>
    <row r="140" spans="2:37" s="97" customFormat="1" x14ac:dyDescent="0.25">
      <c r="B140" s="98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</row>
    <row r="141" spans="2:37" s="97" customFormat="1" x14ac:dyDescent="0.25">
      <c r="B141" s="98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</row>
    <row r="142" spans="2:37" s="97" customFormat="1" x14ac:dyDescent="0.25">
      <c r="B142" s="98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</row>
    <row r="143" spans="2:37" s="97" customFormat="1" x14ac:dyDescent="0.25">
      <c r="B143" s="98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</row>
    <row r="144" spans="2:37" s="97" customFormat="1" x14ac:dyDescent="0.25">
      <c r="B144" s="98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</row>
    <row r="145" spans="2:37" s="97" customFormat="1" x14ac:dyDescent="0.25">
      <c r="B145" s="98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</row>
    <row r="146" spans="2:37" s="97" customFormat="1" x14ac:dyDescent="0.25">
      <c r="B146" s="98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</row>
    <row r="147" spans="2:37" s="97" customFormat="1" x14ac:dyDescent="0.25">
      <c r="B147" s="98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</row>
    <row r="148" spans="2:37" s="97" customFormat="1" x14ac:dyDescent="0.25">
      <c r="B148" s="98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</row>
    <row r="149" spans="2:37" s="97" customFormat="1" x14ac:dyDescent="0.25">
      <c r="B149" s="98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</row>
    <row r="150" spans="2:37" s="97" customFormat="1" x14ac:dyDescent="0.25">
      <c r="B150" s="98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</row>
    <row r="151" spans="2:37" s="97" customFormat="1" x14ac:dyDescent="0.25">
      <c r="B151" s="98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</row>
    <row r="152" spans="2:37" s="97" customFormat="1" x14ac:dyDescent="0.25">
      <c r="B152" s="98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</row>
    <row r="153" spans="2:37" s="97" customFormat="1" x14ac:dyDescent="0.25">
      <c r="B153" s="98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45"/>
    </row>
    <row r="154" spans="2:37" s="97" customFormat="1" x14ac:dyDescent="0.25">
      <c r="B154" s="98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</row>
    <row r="155" spans="2:37" s="97" customFormat="1" x14ac:dyDescent="0.25">
      <c r="B155" s="98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</row>
    <row r="156" spans="2:37" s="97" customFormat="1" x14ac:dyDescent="0.25">
      <c r="B156" s="98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</row>
    <row r="157" spans="2:37" s="97" customFormat="1" x14ac:dyDescent="0.25">
      <c r="B157" s="98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</row>
    <row r="158" spans="2:37" s="97" customFormat="1" x14ac:dyDescent="0.25">
      <c r="B158" s="98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</row>
    <row r="159" spans="2:37" s="97" customFormat="1" x14ac:dyDescent="0.25">
      <c r="B159" s="98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5"/>
    </row>
    <row r="160" spans="2:37" s="97" customFormat="1" x14ac:dyDescent="0.25">
      <c r="B160" s="98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5"/>
    </row>
    <row r="161" spans="2:37" s="97" customFormat="1" x14ac:dyDescent="0.25">
      <c r="B161" s="98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5"/>
    </row>
    <row r="162" spans="2:37" s="97" customFormat="1" x14ac:dyDescent="0.25">
      <c r="B162" s="98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</row>
    <row r="163" spans="2:37" s="97" customFormat="1" x14ac:dyDescent="0.25">
      <c r="B163" s="98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</row>
    <row r="164" spans="2:37" s="97" customFormat="1" x14ac:dyDescent="0.25">
      <c r="B164" s="98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5"/>
    </row>
    <row r="165" spans="2:37" s="97" customFormat="1" x14ac:dyDescent="0.25">
      <c r="B165" s="98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</row>
    <row r="166" spans="2:37" s="97" customFormat="1" x14ac:dyDescent="0.25">
      <c r="B166" s="98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5"/>
    </row>
    <row r="167" spans="2:37" s="97" customFormat="1" x14ac:dyDescent="0.25">
      <c r="B167" s="98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  <c r="AJ167" s="45"/>
      <c r="AK167" s="45"/>
    </row>
    <row r="168" spans="2:37" s="97" customFormat="1" x14ac:dyDescent="0.25">
      <c r="B168" s="98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45"/>
    </row>
    <row r="169" spans="2:37" s="97" customFormat="1" x14ac:dyDescent="0.25">
      <c r="B169" s="98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45"/>
    </row>
    <row r="170" spans="2:37" s="97" customFormat="1" x14ac:dyDescent="0.25">
      <c r="B170" s="98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45"/>
    </row>
    <row r="171" spans="2:37" s="97" customFormat="1" x14ac:dyDescent="0.25">
      <c r="B171" s="98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45"/>
    </row>
    <row r="172" spans="2:37" s="97" customFormat="1" x14ac:dyDescent="0.25">
      <c r="B172" s="98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45"/>
    </row>
    <row r="173" spans="2:37" s="97" customFormat="1" x14ac:dyDescent="0.25">
      <c r="B173" s="98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5"/>
    </row>
    <row r="174" spans="2:37" s="97" customFormat="1" x14ac:dyDescent="0.25">
      <c r="B174" s="98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45"/>
    </row>
    <row r="175" spans="2:37" s="97" customFormat="1" x14ac:dyDescent="0.25">
      <c r="B175" s="98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</row>
    <row r="176" spans="2:37" s="97" customFormat="1" x14ac:dyDescent="0.25">
      <c r="B176" s="98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</row>
    <row r="177" spans="2:37" s="97" customFormat="1" x14ac:dyDescent="0.25">
      <c r="B177" s="98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  <c r="AK177" s="45"/>
    </row>
    <row r="178" spans="2:37" s="97" customFormat="1" x14ac:dyDescent="0.25">
      <c r="B178" s="98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</row>
    <row r="179" spans="2:37" s="97" customFormat="1" x14ac:dyDescent="0.25">
      <c r="B179" s="98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  <c r="AJ179" s="45"/>
      <c r="AK179" s="45"/>
    </row>
    <row r="180" spans="2:37" s="97" customFormat="1" x14ac:dyDescent="0.25">
      <c r="B180" s="98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</row>
    <row r="181" spans="2:37" s="97" customFormat="1" x14ac:dyDescent="0.25">
      <c r="B181" s="98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</row>
    <row r="182" spans="2:37" s="97" customFormat="1" x14ac:dyDescent="0.25">
      <c r="B182" s="98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45"/>
      <c r="AB182" s="45"/>
      <c r="AC182" s="45"/>
      <c r="AD182" s="45"/>
      <c r="AE182" s="45"/>
      <c r="AF182" s="45"/>
      <c r="AG182" s="45"/>
      <c r="AH182" s="45"/>
      <c r="AI182" s="45"/>
      <c r="AJ182" s="45"/>
      <c r="AK182" s="45"/>
    </row>
    <row r="183" spans="2:37" s="97" customFormat="1" x14ac:dyDescent="0.25">
      <c r="B183" s="98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/>
      <c r="AB183" s="45"/>
      <c r="AC183" s="45"/>
      <c r="AD183" s="45"/>
      <c r="AE183" s="45"/>
      <c r="AF183" s="45"/>
      <c r="AG183" s="45"/>
      <c r="AH183" s="45"/>
      <c r="AI183" s="45"/>
      <c r="AJ183" s="45"/>
      <c r="AK183" s="45"/>
    </row>
    <row r="184" spans="2:37" s="97" customFormat="1" x14ac:dyDescent="0.25">
      <c r="B184" s="98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  <c r="AK184" s="45"/>
    </row>
    <row r="185" spans="2:37" s="97" customFormat="1" x14ac:dyDescent="0.25">
      <c r="B185" s="98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  <c r="AC185" s="45"/>
      <c r="AD185" s="45"/>
      <c r="AE185" s="45"/>
      <c r="AF185" s="45"/>
      <c r="AG185" s="45"/>
      <c r="AH185" s="45"/>
      <c r="AI185" s="45"/>
      <c r="AJ185" s="45"/>
      <c r="AK185" s="45"/>
    </row>
    <row r="186" spans="2:37" s="97" customFormat="1" x14ac:dyDescent="0.25">
      <c r="B186" s="98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  <c r="AC186" s="45"/>
      <c r="AD186" s="45"/>
      <c r="AE186" s="45"/>
      <c r="AF186" s="45"/>
      <c r="AG186" s="45"/>
      <c r="AH186" s="45"/>
      <c r="AI186" s="45"/>
      <c r="AJ186" s="45"/>
      <c r="AK186" s="45"/>
    </row>
    <row r="187" spans="2:37" s="97" customFormat="1" x14ac:dyDescent="0.25">
      <c r="B187" s="98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  <c r="AJ187" s="45"/>
      <c r="AK187" s="45"/>
    </row>
    <row r="188" spans="2:37" s="97" customFormat="1" x14ac:dyDescent="0.25">
      <c r="B188" s="98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  <c r="AC188" s="45"/>
      <c r="AD188" s="45"/>
      <c r="AE188" s="45"/>
      <c r="AF188" s="45"/>
      <c r="AG188" s="45"/>
      <c r="AH188" s="45"/>
      <c r="AI188" s="45"/>
      <c r="AJ188" s="45"/>
      <c r="AK188" s="45"/>
    </row>
    <row r="189" spans="2:37" s="97" customFormat="1" x14ac:dyDescent="0.25">
      <c r="B189" s="98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  <c r="AA189" s="45"/>
      <c r="AB189" s="45"/>
      <c r="AC189" s="45"/>
      <c r="AD189" s="45"/>
      <c r="AE189" s="45"/>
      <c r="AF189" s="45"/>
      <c r="AG189" s="45"/>
      <c r="AH189" s="45"/>
      <c r="AI189" s="45"/>
      <c r="AJ189" s="45"/>
      <c r="AK189" s="45"/>
    </row>
    <row r="190" spans="2:37" s="97" customFormat="1" x14ac:dyDescent="0.25">
      <c r="B190" s="98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45"/>
      <c r="AB190" s="45"/>
      <c r="AC190" s="45"/>
      <c r="AD190" s="45"/>
      <c r="AE190" s="45"/>
      <c r="AF190" s="45"/>
      <c r="AG190" s="45"/>
      <c r="AH190" s="45"/>
      <c r="AI190" s="45"/>
      <c r="AJ190" s="45"/>
      <c r="AK190" s="45"/>
    </row>
    <row r="191" spans="2:37" s="97" customFormat="1" x14ac:dyDescent="0.25">
      <c r="B191" s="98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  <c r="AC191" s="45"/>
      <c r="AD191" s="45"/>
      <c r="AE191" s="45"/>
      <c r="AF191" s="45"/>
      <c r="AG191" s="45"/>
      <c r="AH191" s="45"/>
      <c r="AI191" s="45"/>
      <c r="AJ191" s="45"/>
      <c r="AK191" s="45"/>
    </row>
    <row r="192" spans="2:37" s="97" customFormat="1" x14ac:dyDescent="0.25">
      <c r="B192" s="98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  <c r="AJ192" s="45"/>
      <c r="AK192" s="45"/>
    </row>
    <row r="193" spans="2:37" s="97" customFormat="1" x14ac:dyDescent="0.25">
      <c r="B193" s="98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  <c r="AC193" s="45"/>
      <c r="AD193" s="45"/>
      <c r="AE193" s="45"/>
      <c r="AF193" s="45"/>
      <c r="AG193" s="45"/>
      <c r="AH193" s="45"/>
      <c r="AI193" s="45"/>
      <c r="AJ193" s="45"/>
      <c r="AK193" s="45"/>
    </row>
    <row r="194" spans="2:37" s="97" customFormat="1" x14ac:dyDescent="0.25">
      <c r="B194" s="98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  <c r="AJ194" s="45"/>
      <c r="AK194" s="45"/>
    </row>
    <row r="195" spans="2:37" s="97" customFormat="1" x14ac:dyDescent="0.25">
      <c r="B195" s="98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/>
      <c r="Z195" s="45"/>
      <c r="AA195" s="45"/>
      <c r="AB195" s="45"/>
      <c r="AC195" s="45"/>
      <c r="AD195" s="45"/>
      <c r="AE195" s="45"/>
      <c r="AF195" s="45"/>
      <c r="AG195" s="45"/>
      <c r="AH195" s="45"/>
      <c r="AI195" s="45"/>
      <c r="AJ195" s="45"/>
      <c r="AK195" s="45"/>
    </row>
    <row r="196" spans="2:37" s="97" customFormat="1" x14ac:dyDescent="0.25">
      <c r="B196" s="98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  <c r="AA196" s="45"/>
      <c r="AB196" s="45"/>
      <c r="AC196" s="45"/>
      <c r="AD196" s="45"/>
      <c r="AE196" s="45"/>
      <c r="AF196" s="45"/>
      <c r="AG196" s="45"/>
      <c r="AH196" s="45"/>
      <c r="AI196" s="45"/>
      <c r="AJ196" s="45"/>
      <c r="AK196" s="45"/>
    </row>
    <row r="197" spans="2:37" s="97" customFormat="1" x14ac:dyDescent="0.25">
      <c r="B197" s="98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  <c r="AA197" s="45"/>
      <c r="AB197" s="45"/>
      <c r="AC197" s="45"/>
      <c r="AD197" s="45"/>
      <c r="AE197" s="45"/>
      <c r="AF197" s="45"/>
      <c r="AG197" s="45"/>
      <c r="AH197" s="45"/>
      <c r="AI197" s="45"/>
      <c r="AJ197" s="45"/>
      <c r="AK197" s="45"/>
    </row>
    <row r="198" spans="2:37" s="97" customFormat="1" x14ac:dyDescent="0.25">
      <c r="B198" s="98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45"/>
      <c r="AB198" s="45"/>
      <c r="AC198" s="45"/>
      <c r="AD198" s="45"/>
      <c r="AE198" s="45"/>
      <c r="AF198" s="45"/>
      <c r="AG198" s="45"/>
      <c r="AH198" s="45"/>
      <c r="AI198" s="45"/>
      <c r="AJ198" s="45"/>
      <c r="AK198" s="45"/>
    </row>
    <row r="199" spans="2:37" s="97" customFormat="1" x14ac:dyDescent="0.25">
      <c r="B199" s="98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45"/>
      <c r="AB199" s="45"/>
      <c r="AC199" s="45"/>
      <c r="AD199" s="45"/>
      <c r="AE199" s="45"/>
      <c r="AF199" s="45"/>
      <c r="AG199" s="45"/>
      <c r="AH199" s="45"/>
      <c r="AI199" s="45"/>
      <c r="AJ199" s="45"/>
      <c r="AK199" s="45"/>
    </row>
    <row r="200" spans="2:37" s="97" customFormat="1" x14ac:dyDescent="0.25">
      <c r="B200" s="98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45"/>
      <c r="AB200" s="45"/>
      <c r="AC200" s="45"/>
      <c r="AD200" s="45"/>
      <c r="AE200" s="45"/>
      <c r="AF200" s="45"/>
      <c r="AG200" s="45"/>
      <c r="AH200" s="45"/>
      <c r="AI200" s="45"/>
      <c r="AJ200" s="45"/>
      <c r="AK200" s="45"/>
    </row>
    <row r="201" spans="2:37" s="97" customFormat="1" x14ac:dyDescent="0.25">
      <c r="B201" s="98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  <c r="AC201" s="45"/>
      <c r="AD201" s="45"/>
      <c r="AE201" s="45"/>
      <c r="AF201" s="45"/>
      <c r="AG201" s="45"/>
      <c r="AH201" s="45"/>
      <c r="AI201" s="45"/>
      <c r="AJ201" s="45"/>
      <c r="AK201" s="45"/>
    </row>
    <row r="202" spans="2:37" s="97" customFormat="1" x14ac:dyDescent="0.25">
      <c r="B202" s="98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  <c r="AA202" s="45"/>
      <c r="AB202" s="45"/>
      <c r="AC202" s="45"/>
      <c r="AD202" s="45"/>
      <c r="AE202" s="45"/>
      <c r="AF202" s="45"/>
      <c r="AG202" s="45"/>
      <c r="AH202" s="45"/>
      <c r="AI202" s="45"/>
      <c r="AJ202" s="45"/>
      <c r="AK202" s="45"/>
    </row>
    <row r="203" spans="2:37" s="97" customFormat="1" x14ac:dyDescent="0.25">
      <c r="B203" s="98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  <c r="AC203" s="45"/>
      <c r="AD203" s="45"/>
      <c r="AE203" s="45"/>
      <c r="AF203" s="45"/>
      <c r="AG203" s="45"/>
      <c r="AH203" s="45"/>
      <c r="AI203" s="45"/>
      <c r="AJ203" s="45"/>
      <c r="AK203" s="45"/>
    </row>
    <row r="204" spans="2:37" s="97" customFormat="1" x14ac:dyDescent="0.25">
      <c r="B204" s="98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45"/>
      <c r="AB204" s="45"/>
      <c r="AC204" s="45"/>
      <c r="AD204" s="45"/>
      <c r="AE204" s="45"/>
      <c r="AF204" s="45"/>
      <c r="AG204" s="45"/>
      <c r="AH204" s="45"/>
      <c r="AI204" s="45"/>
      <c r="AJ204" s="45"/>
      <c r="AK204" s="45"/>
    </row>
    <row r="205" spans="2:37" s="97" customFormat="1" x14ac:dyDescent="0.25">
      <c r="B205" s="98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  <c r="AA205" s="45"/>
      <c r="AB205" s="45"/>
      <c r="AC205" s="45"/>
      <c r="AD205" s="45"/>
      <c r="AE205" s="45"/>
      <c r="AF205" s="45"/>
      <c r="AG205" s="45"/>
      <c r="AH205" s="45"/>
      <c r="AI205" s="45"/>
      <c r="AJ205" s="45"/>
      <c r="AK205" s="45"/>
    </row>
    <row r="206" spans="2:37" s="97" customFormat="1" x14ac:dyDescent="0.25">
      <c r="B206" s="98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  <c r="Z206" s="45"/>
      <c r="AA206" s="45"/>
      <c r="AB206" s="45"/>
      <c r="AC206" s="45"/>
      <c r="AD206" s="45"/>
      <c r="AE206" s="45"/>
      <c r="AF206" s="45"/>
      <c r="AG206" s="45"/>
      <c r="AH206" s="45"/>
      <c r="AI206" s="45"/>
      <c r="AJ206" s="45"/>
      <c r="AK206" s="45"/>
    </row>
    <row r="207" spans="2:37" s="97" customFormat="1" x14ac:dyDescent="0.25">
      <c r="B207" s="98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  <c r="AA207" s="45"/>
      <c r="AB207" s="45"/>
      <c r="AC207" s="45"/>
      <c r="AD207" s="45"/>
      <c r="AE207" s="45"/>
      <c r="AF207" s="45"/>
      <c r="AG207" s="45"/>
      <c r="AH207" s="45"/>
      <c r="AI207" s="45"/>
      <c r="AJ207" s="45"/>
      <c r="AK207" s="45"/>
    </row>
    <row r="208" spans="2:37" s="97" customFormat="1" x14ac:dyDescent="0.25">
      <c r="B208" s="98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  <c r="X208" s="45"/>
      <c r="Y208" s="45"/>
      <c r="Z208" s="45"/>
      <c r="AA208" s="45"/>
      <c r="AB208" s="45"/>
      <c r="AC208" s="45"/>
      <c r="AD208" s="45"/>
      <c r="AE208" s="45"/>
      <c r="AF208" s="45"/>
      <c r="AG208" s="45"/>
      <c r="AH208" s="45"/>
      <c r="AI208" s="45"/>
      <c r="AJ208" s="45"/>
      <c r="AK208" s="45"/>
    </row>
    <row r="209" spans="2:37" s="97" customFormat="1" x14ac:dyDescent="0.25">
      <c r="B209" s="98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  <c r="Y209" s="45"/>
      <c r="Z209" s="45"/>
      <c r="AA209" s="45"/>
      <c r="AB209" s="45"/>
      <c r="AC209" s="45"/>
      <c r="AD209" s="45"/>
      <c r="AE209" s="45"/>
      <c r="AF209" s="45"/>
      <c r="AG209" s="45"/>
      <c r="AH209" s="45"/>
      <c r="AI209" s="45"/>
      <c r="AJ209" s="45"/>
      <c r="AK209" s="45"/>
    </row>
    <row r="210" spans="2:37" s="97" customFormat="1" x14ac:dyDescent="0.25">
      <c r="B210" s="98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  <c r="X210" s="45"/>
      <c r="Y210" s="45"/>
      <c r="Z210" s="45"/>
      <c r="AA210" s="45"/>
      <c r="AB210" s="45"/>
      <c r="AC210" s="45"/>
      <c r="AD210" s="45"/>
      <c r="AE210" s="45"/>
      <c r="AF210" s="45"/>
      <c r="AG210" s="45"/>
      <c r="AH210" s="45"/>
      <c r="AI210" s="45"/>
      <c r="AJ210" s="45"/>
      <c r="AK210" s="45"/>
    </row>
    <row r="211" spans="2:37" s="97" customFormat="1" x14ac:dyDescent="0.25">
      <c r="B211" s="98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  <c r="W211" s="45"/>
      <c r="X211" s="45"/>
      <c r="Y211" s="45"/>
      <c r="Z211" s="45"/>
      <c r="AA211" s="45"/>
      <c r="AB211" s="45"/>
      <c r="AC211" s="45"/>
      <c r="AD211" s="45"/>
      <c r="AE211" s="45"/>
      <c r="AF211" s="45"/>
      <c r="AG211" s="45"/>
      <c r="AH211" s="45"/>
      <c r="AI211" s="45"/>
      <c r="AJ211" s="45"/>
      <c r="AK211" s="45"/>
    </row>
    <row r="212" spans="2:37" s="97" customFormat="1" x14ac:dyDescent="0.25">
      <c r="B212" s="98"/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45"/>
      <c r="W212" s="45"/>
      <c r="X212" s="45"/>
      <c r="Y212" s="45"/>
      <c r="Z212" s="45"/>
      <c r="AA212" s="45"/>
      <c r="AB212" s="45"/>
      <c r="AC212" s="45"/>
      <c r="AD212" s="45"/>
      <c r="AE212" s="45"/>
      <c r="AF212" s="45"/>
      <c r="AG212" s="45"/>
      <c r="AH212" s="45"/>
      <c r="AI212" s="45"/>
      <c r="AJ212" s="45"/>
      <c r="AK212" s="45"/>
    </row>
    <row r="213" spans="2:37" s="97" customFormat="1" x14ac:dyDescent="0.25">
      <c r="B213" s="98"/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45"/>
      <c r="W213" s="45"/>
      <c r="X213" s="45"/>
      <c r="Y213" s="45"/>
      <c r="Z213" s="45"/>
      <c r="AA213" s="45"/>
      <c r="AB213" s="45"/>
      <c r="AC213" s="45"/>
      <c r="AD213" s="45"/>
      <c r="AE213" s="45"/>
      <c r="AF213" s="45"/>
      <c r="AG213" s="45"/>
      <c r="AH213" s="45"/>
      <c r="AI213" s="45"/>
      <c r="AJ213" s="45"/>
      <c r="AK213" s="45"/>
    </row>
    <row r="214" spans="2:37" s="97" customFormat="1" x14ac:dyDescent="0.25">
      <c r="B214" s="98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45"/>
      <c r="W214" s="45"/>
      <c r="X214" s="45"/>
      <c r="Y214" s="45"/>
      <c r="Z214" s="45"/>
      <c r="AA214" s="45"/>
      <c r="AB214" s="45"/>
      <c r="AC214" s="45"/>
      <c r="AD214" s="45"/>
      <c r="AE214" s="45"/>
      <c r="AF214" s="45"/>
      <c r="AG214" s="45"/>
      <c r="AH214" s="45"/>
      <c r="AI214" s="45"/>
      <c r="AJ214" s="45"/>
      <c r="AK214" s="45"/>
    </row>
    <row r="215" spans="2:37" s="97" customFormat="1" x14ac:dyDescent="0.25">
      <c r="B215" s="98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45"/>
      <c r="W215" s="45"/>
      <c r="X215" s="45"/>
      <c r="Y215" s="45"/>
      <c r="Z215" s="45"/>
      <c r="AA215" s="45"/>
      <c r="AB215" s="45"/>
      <c r="AC215" s="45"/>
      <c r="AD215" s="45"/>
      <c r="AE215" s="45"/>
      <c r="AF215" s="45"/>
      <c r="AG215" s="45"/>
      <c r="AH215" s="45"/>
      <c r="AI215" s="45"/>
      <c r="AJ215" s="45"/>
      <c r="AK215" s="45"/>
    </row>
    <row r="216" spans="2:37" s="97" customFormat="1" x14ac:dyDescent="0.25">
      <c r="B216" s="98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  <c r="X216" s="45"/>
      <c r="Y216" s="45"/>
      <c r="Z216" s="45"/>
      <c r="AA216" s="45"/>
      <c r="AB216" s="45"/>
      <c r="AC216" s="45"/>
      <c r="AD216" s="45"/>
      <c r="AE216" s="45"/>
      <c r="AF216" s="45"/>
      <c r="AG216" s="45"/>
      <c r="AH216" s="45"/>
      <c r="AI216" s="45"/>
      <c r="AJ216" s="45"/>
      <c r="AK216" s="45"/>
    </row>
    <row r="217" spans="2:37" s="97" customFormat="1" x14ac:dyDescent="0.25">
      <c r="B217" s="98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5"/>
      <c r="W217" s="45"/>
      <c r="X217" s="45"/>
      <c r="Y217" s="45"/>
      <c r="Z217" s="45"/>
      <c r="AA217" s="45"/>
      <c r="AB217" s="45"/>
      <c r="AC217" s="45"/>
      <c r="AD217" s="45"/>
      <c r="AE217" s="45"/>
      <c r="AF217" s="45"/>
      <c r="AG217" s="45"/>
      <c r="AH217" s="45"/>
      <c r="AI217" s="45"/>
      <c r="AJ217" s="45"/>
      <c r="AK217" s="45"/>
    </row>
    <row r="218" spans="2:37" s="97" customFormat="1" x14ac:dyDescent="0.25">
      <c r="B218" s="98"/>
      <c r="C218" s="45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45"/>
      <c r="W218" s="45"/>
      <c r="X218" s="45"/>
      <c r="Y218" s="45"/>
      <c r="Z218" s="45"/>
      <c r="AA218" s="45"/>
      <c r="AB218" s="45"/>
      <c r="AC218" s="45"/>
      <c r="AD218" s="45"/>
      <c r="AE218" s="45"/>
      <c r="AF218" s="45"/>
      <c r="AG218" s="45"/>
      <c r="AH218" s="45"/>
      <c r="AI218" s="45"/>
      <c r="AJ218" s="45"/>
      <c r="AK218" s="45"/>
    </row>
    <row r="219" spans="2:37" s="97" customFormat="1" x14ac:dyDescent="0.25">
      <c r="B219" s="98"/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45"/>
      <c r="W219" s="45"/>
      <c r="X219" s="45"/>
      <c r="Y219" s="45"/>
      <c r="Z219" s="45"/>
      <c r="AA219" s="45"/>
      <c r="AB219" s="45"/>
      <c r="AC219" s="45"/>
      <c r="AD219" s="45"/>
      <c r="AE219" s="45"/>
      <c r="AF219" s="45"/>
      <c r="AG219" s="45"/>
      <c r="AH219" s="45"/>
      <c r="AI219" s="45"/>
      <c r="AJ219" s="45"/>
      <c r="AK219" s="45"/>
    </row>
    <row r="220" spans="2:37" s="97" customFormat="1" x14ac:dyDescent="0.25">
      <c r="B220" s="98"/>
      <c r="C220" s="45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  <c r="O220" s="45"/>
      <c r="P220" s="45"/>
      <c r="Q220" s="45"/>
      <c r="R220" s="45"/>
      <c r="S220" s="45"/>
      <c r="T220" s="45"/>
      <c r="U220" s="45"/>
      <c r="V220" s="45"/>
      <c r="W220" s="45"/>
      <c r="X220" s="45"/>
      <c r="Y220" s="45"/>
      <c r="Z220" s="45"/>
      <c r="AA220" s="45"/>
      <c r="AB220" s="45"/>
      <c r="AC220" s="45"/>
      <c r="AD220" s="45"/>
      <c r="AE220" s="45"/>
      <c r="AF220" s="45"/>
      <c r="AG220" s="45"/>
      <c r="AH220" s="45"/>
      <c r="AI220" s="45"/>
      <c r="AJ220" s="45"/>
      <c r="AK220" s="45"/>
    </row>
    <row r="221" spans="2:37" s="97" customFormat="1" x14ac:dyDescent="0.25">
      <c r="B221" s="98"/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45"/>
      <c r="W221" s="45"/>
      <c r="X221" s="45"/>
      <c r="Y221" s="45"/>
      <c r="Z221" s="45"/>
      <c r="AA221" s="45"/>
      <c r="AB221" s="45"/>
      <c r="AC221" s="45"/>
      <c r="AD221" s="45"/>
      <c r="AE221" s="45"/>
      <c r="AF221" s="45"/>
      <c r="AG221" s="45"/>
      <c r="AH221" s="45"/>
      <c r="AI221" s="45"/>
      <c r="AJ221" s="45"/>
      <c r="AK221" s="45"/>
    </row>
    <row r="222" spans="2:37" s="97" customFormat="1" x14ac:dyDescent="0.25">
      <c r="B222" s="98"/>
      <c r="C222" s="45"/>
      <c r="D222" s="45"/>
      <c r="E222" s="45"/>
      <c r="F222" s="45"/>
      <c r="G222" s="45"/>
      <c r="H222" s="45"/>
      <c r="I222" s="45"/>
      <c r="J222" s="45"/>
      <c r="K222" s="45"/>
      <c r="L222" s="45"/>
      <c r="M222" s="45"/>
      <c r="N222" s="45"/>
      <c r="O222" s="45"/>
      <c r="P222" s="45"/>
      <c r="Q222" s="45"/>
      <c r="R222" s="45"/>
      <c r="S222" s="45"/>
      <c r="T222" s="45"/>
      <c r="U222" s="45"/>
      <c r="V222" s="45"/>
      <c r="W222" s="45"/>
      <c r="X222" s="45"/>
      <c r="Y222" s="45"/>
      <c r="Z222" s="45"/>
      <c r="AA222" s="45"/>
      <c r="AB222" s="45"/>
      <c r="AC222" s="45"/>
      <c r="AD222" s="45"/>
      <c r="AE222" s="45"/>
      <c r="AF222" s="45"/>
      <c r="AG222" s="45"/>
      <c r="AH222" s="45"/>
      <c r="AI222" s="45"/>
      <c r="AJ222" s="45"/>
      <c r="AK222" s="45"/>
    </row>
    <row r="223" spans="2:37" s="97" customFormat="1" x14ac:dyDescent="0.25">
      <c r="B223" s="98"/>
      <c r="C223" s="45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  <c r="O223" s="45"/>
      <c r="P223" s="45"/>
      <c r="Q223" s="45"/>
      <c r="R223" s="45"/>
      <c r="S223" s="45"/>
      <c r="T223" s="45"/>
      <c r="U223" s="45"/>
      <c r="V223" s="45"/>
      <c r="W223" s="45"/>
      <c r="X223" s="45"/>
      <c r="Y223" s="45"/>
      <c r="Z223" s="45"/>
      <c r="AA223" s="45"/>
      <c r="AB223" s="45"/>
      <c r="AC223" s="45"/>
      <c r="AD223" s="45"/>
      <c r="AE223" s="45"/>
      <c r="AF223" s="45"/>
      <c r="AG223" s="45"/>
      <c r="AH223" s="45"/>
      <c r="AI223" s="45"/>
      <c r="AJ223" s="45"/>
      <c r="AK223" s="45"/>
    </row>
    <row r="224" spans="2:37" s="97" customFormat="1" x14ac:dyDescent="0.25">
      <c r="B224" s="98"/>
      <c r="C224" s="45"/>
      <c r="D224" s="45"/>
      <c r="E224" s="45"/>
      <c r="F224" s="45"/>
      <c r="G224" s="45"/>
      <c r="H224" s="45"/>
      <c r="I224" s="45"/>
      <c r="J224" s="45"/>
      <c r="K224" s="45"/>
      <c r="L224" s="45"/>
      <c r="M224" s="45"/>
      <c r="N224" s="45"/>
      <c r="O224" s="45"/>
      <c r="P224" s="45"/>
      <c r="Q224" s="45"/>
      <c r="R224" s="45"/>
      <c r="S224" s="45"/>
      <c r="T224" s="45"/>
      <c r="U224" s="45"/>
      <c r="V224" s="45"/>
      <c r="W224" s="45"/>
      <c r="X224" s="45"/>
      <c r="Y224" s="45"/>
      <c r="Z224" s="45"/>
      <c r="AA224" s="45"/>
      <c r="AB224" s="45"/>
      <c r="AC224" s="45"/>
      <c r="AD224" s="45"/>
      <c r="AE224" s="45"/>
      <c r="AF224" s="45"/>
      <c r="AG224" s="45"/>
      <c r="AH224" s="45"/>
      <c r="AI224" s="45"/>
      <c r="AJ224" s="45"/>
      <c r="AK224" s="45"/>
    </row>
    <row r="225" spans="2:37" s="97" customFormat="1" x14ac:dyDescent="0.25">
      <c r="B225" s="98"/>
      <c r="C225" s="45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N225" s="45"/>
      <c r="O225" s="45"/>
      <c r="P225" s="45"/>
      <c r="Q225" s="45"/>
      <c r="R225" s="45"/>
      <c r="S225" s="45"/>
      <c r="T225" s="45"/>
      <c r="U225" s="45"/>
      <c r="V225" s="45"/>
      <c r="W225" s="45"/>
      <c r="X225" s="45"/>
      <c r="Y225" s="45"/>
      <c r="Z225" s="45"/>
      <c r="AA225" s="45"/>
      <c r="AB225" s="45"/>
      <c r="AC225" s="45"/>
      <c r="AD225" s="45"/>
      <c r="AE225" s="45"/>
      <c r="AF225" s="45"/>
      <c r="AG225" s="45"/>
      <c r="AH225" s="45"/>
      <c r="AI225" s="45"/>
      <c r="AJ225" s="45"/>
      <c r="AK225" s="45"/>
    </row>
    <row r="226" spans="2:37" s="97" customFormat="1" x14ac:dyDescent="0.25">
      <c r="B226" s="98"/>
      <c r="C226" s="45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45"/>
      <c r="S226" s="45"/>
      <c r="T226" s="45"/>
      <c r="U226" s="45"/>
      <c r="V226" s="45"/>
      <c r="W226" s="45"/>
      <c r="X226" s="45"/>
      <c r="Y226" s="45"/>
      <c r="Z226" s="45"/>
      <c r="AA226" s="45"/>
      <c r="AB226" s="45"/>
      <c r="AC226" s="45"/>
      <c r="AD226" s="45"/>
      <c r="AE226" s="45"/>
      <c r="AF226" s="45"/>
      <c r="AG226" s="45"/>
      <c r="AH226" s="45"/>
      <c r="AI226" s="45"/>
      <c r="AJ226" s="45"/>
      <c r="AK226" s="45"/>
    </row>
    <row r="227" spans="2:37" s="97" customFormat="1" x14ac:dyDescent="0.25">
      <c r="B227" s="98"/>
      <c r="C227" s="45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45"/>
      <c r="R227" s="45"/>
      <c r="S227" s="45"/>
      <c r="T227" s="45"/>
      <c r="U227" s="45"/>
      <c r="V227" s="45"/>
      <c r="W227" s="45"/>
      <c r="X227" s="45"/>
      <c r="Y227" s="45"/>
      <c r="Z227" s="45"/>
      <c r="AA227" s="45"/>
      <c r="AB227" s="45"/>
      <c r="AC227" s="45"/>
      <c r="AD227" s="45"/>
      <c r="AE227" s="45"/>
      <c r="AF227" s="45"/>
      <c r="AG227" s="45"/>
      <c r="AH227" s="45"/>
      <c r="AI227" s="45"/>
      <c r="AJ227" s="45"/>
      <c r="AK227" s="45"/>
    </row>
    <row r="228" spans="2:37" s="97" customFormat="1" x14ac:dyDescent="0.25">
      <c r="B228" s="98"/>
      <c r="C228" s="45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  <c r="O228" s="45"/>
      <c r="P228" s="45"/>
      <c r="Q228" s="45"/>
      <c r="R228" s="45"/>
      <c r="S228" s="45"/>
      <c r="T228" s="45"/>
      <c r="U228" s="45"/>
      <c r="V228" s="45"/>
      <c r="W228" s="45"/>
      <c r="X228" s="45"/>
      <c r="Y228" s="45"/>
      <c r="Z228" s="45"/>
      <c r="AA228" s="45"/>
      <c r="AB228" s="45"/>
      <c r="AC228" s="45"/>
      <c r="AD228" s="45"/>
      <c r="AE228" s="45"/>
      <c r="AF228" s="45"/>
      <c r="AG228" s="45"/>
      <c r="AH228" s="45"/>
      <c r="AI228" s="45"/>
      <c r="AJ228" s="45"/>
      <c r="AK228" s="45"/>
    </row>
    <row r="229" spans="2:37" s="97" customFormat="1" x14ac:dyDescent="0.25">
      <c r="B229" s="98"/>
      <c r="C229" s="45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N229" s="45"/>
      <c r="O229" s="45"/>
      <c r="P229" s="45"/>
      <c r="Q229" s="45"/>
      <c r="R229" s="45"/>
      <c r="S229" s="45"/>
      <c r="T229" s="45"/>
      <c r="U229" s="45"/>
      <c r="V229" s="45"/>
      <c r="W229" s="45"/>
      <c r="X229" s="45"/>
      <c r="Y229" s="45"/>
      <c r="Z229" s="45"/>
      <c r="AA229" s="45"/>
      <c r="AB229" s="45"/>
      <c r="AC229" s="45"/>
      <c r="AD229" s="45"/>
      <c r="AE229" s="45"/>
      <c r="AF229" s="45"/>
      <c r="AG229" s="45"/>
      <c r="AH229" s="45"/>
      <c r="AI229" s="45"/>
      <c r="AJ229" s="45"/>
      <c r="AK229" s="45"/>
    </row>
    <row r="230" spans="2:37" s="97" customFormat="1" x14ac:dyDescent="0.25">
      <c r="B230" s="98"/>
      <c r="C230" s="45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45"/>
      <c r="O230" s="45"/>
      <c r="P230" s="45"/>
      <c r="Q230" s="45"/>
      <c r="R230" s="45"/>
      <c r="S230" s="45"/>
      <c r="T230" s="45"/>
      <c r="U230" s="45"/>
      <c r="V230" s="45"/>
      <c r="W230" s="45"/>
      <c r="X230" s="45"/>
      <c r="Y230" s="45"/>
      <c r="Z230" s="45"/>
      <c r="AA230" s="45"/>
      <c r="AB230" s="45"/>
      <c r="AC230" s="45"/>
      <c r="AD230" s="45"/>
      <c r="AE230" s="45"/>
      <c r="AF230" s="45"/>
      <c r="AG230" s="45"/>
      <c r="AH230" s="45"/>
      <c r="AI230" s="45"/>
      <c r="AJ230" s="45"/>
      <c r="AK230" s="45"/>
    </row>
    <row r="231" spans="2:37" s="97" customFormat="1" x14ac:dyDescent="0.25">
      <c r="B231" s="98"/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45"/>
      <c r="R231" s="45"/>
      <c r="S231" s="45"/>
      <c r="T231" s="45"/>
      <c r="U231" s="45"/>
      <c r="V231" s="45"/>
      <c r="W231" s="45"/>
      <c r="X231" s="45"/>
      <c r="Y231" s="45"/>
      <c r="Z231" s="45"/>
      <c r="AA231" s="45"/>
      <c r="AB231" s="45"/>
      <c r="AC231" s="45"/>
      <c r="AD231" s="45"/>
      <c r="AE231" s="45"/>
      <c r="AF231" s="45"/>
      <c r="AG231" s="45"/>
      <c r="AH231" s="45"/>
      <c r="AI231" s="45"/>
      <c r="AJ231" s="45"/>
      <c r="AK231" s="45"/>
    </row>
    <row r="232" spans="2:37" s="97" customFormat="1" x14ac:dyDescent="0.25">
      <c r="B232" s="98"/>
      <c r="C232" s="45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  <c r="O232" s="45"/>
      <c r="P232" s="45"/>
      <c r="Q232" s="45"/>
      <c r="R232" s="45"/>
      <c r="S232" s="45"/>
      <c r="T232" s="45"/>
      <c r="U232" s="45"/>
      <c r="V232" s="45"/>
      <c r="W232" s="45"/>
      <c r="X232" s="45"/>
      <c r="Y232" s="45"/>
      <c r="Z232" s="45"/>
      <c r="AA232" s="45"/>
      <c r="AB232" s="45"/>
      <c r="AC232" s="45"/>
      <c r="AD232" s="45"/>
      <c r="AE232" s="45"/>
      <c r="AF232" s="45"/>
      <c r="AG232" s="45"/>
      <c r="AH232" s="45"/>
      <c r="AI232" s="45"/>
      <c r="AJ232" s="45"/>
      <c r="AK232" s="45"/>
    </row>
    <row r="233" spans="2:37" s="97" customFormat="1" x14ac:dyDescent="0.25">
      <c r="B233" s="98"/>
      <c r="C233" s="45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N233" s="45"/>
      <c r="O233" s="45"/>
      <c r="P233" s="45"/>
      <c r="Q233" s="45"/>
      <c r="R233" s="45"/>
      <c r="S233" s="45"/>
      <c r="T233" s="45"/>
      <c r="U233" s="45"/>
      <c r="V233" s="45"/>
      <c r="W233" s="45"/>
      <c r="X233" s="45"/>
      <c r="Y233" s="45"/>
      <c r="Z233" s="45"/>
      <c r="AA233" s="45"/>
      <c r="AB233" s="45"/>
      <c r="AC233" s="45"/>
      <c r="AD233" s="45"/>
      <c r="AE233" s="45"/>
      <c r="AF233" s="45"/>
      <c r="AG233" s="45"/>
      <c r="AH233" s="45"/>
      <c r="AI233" s="45"/>
      <c r="AJ233" s="45"/>
      <c r="AK233" s="45"/>
    </row>
    <row r="234" spans="2:37" s="97" customFormat="1" x14ac:dyDescent="0.25">
      <c r="B234" s="98"/>
      <c r="C234" s="45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45"/>
      <c r="O234" s="45"/>
      <c r="P234" s="45"/>
      <c r="Q234" s="45"/>
      <c r="R234" s="45"/>
      <c r="S234" s="45"/>
      <c r="T234" s="45"/>
      <c r="U234" s="45"/>
      <c r="V234" s="45"/>
      <c r="W234" s="45"/>
      <c r="X234" s="45"/>
      <c r="Y234" s="45"/>
      <c r="Z234" s="45"/>
      <c r="AA234" s="45"/>
      <c r="AB234" s="45"/>
      <c r="AC234" s="45"/>
      <c r="AD234" s="45"/>
      <c r="AE234" s="45"/>
      <c r="AF234" s="45"/>
      <c r="AG234" s="45"/>
      <c r="AH234" s="45"/>
      <c r="AI234" s="45"/>
      <c r="AJ234" s="45"/>
      <c r="AK234" s="45"/>
    </row>
    <row r="235" spans="2:37" s="97" customFormat="1" x14ac:dyDescent="0.25">
      <c r="B235" s="98"/>
      <c r="C235" s="45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N235" s="45"/>
      <c r="O235" s="45"/>
      <c r="P235" s="45"/>
      <c r="Q235" s="45"/>
      <c r="R235" s="45"/>
      <c r="S235" s="45"/>
      <c r="T235" s="45"/>
      <c r="U235" s="45"/>
      <c r="V235" s="45"/>
      <c r="W235" s="45"/>
      <c r="X235" s="45"/>
      <c r="Y235" s="45"/>
      <c r="Z235" s="45"/>
      <c r="AA235" s="45"/>
      <c r="AB235" s="45"/>
      <c r="AC235" s="45"/>
      <c r="AD235" s="45"/>
      <c r="AE235" s="45"/>
      <c r="AF235" s="45"/>
      <c r="AG235" s="45"/>
      <c r="AH235" s="45"/>
      <c r="AI235" s="45"/>
      <c r="AJ235" s="45"/>
      <c r="AK235" s="45"/>
    </row>
    <row r="236" spans="2:37" s="97" customFormat="1" x14ac:dyDescent="0.25">
      <c r="B236" s="98"/>
      <c r="C236" s="45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45"/>
      <c r="O236" s="45"/>
      <c r="P236" s="45"/>
      <c r="Q236" s="45"/>
      <c r="R236" s="45"/>
      <c r="S236" s="45"/>
      <c r="T236" s="45"/>
      <c r="U236" s="45"/>
      <c r="V236" s="45"/>
      <c r="W236" s="45"/>
      <c r="X236" s="45"/>
      <c r="Y236" s="45"/>
      <c r="Z236" s="45"/>
      <c r="AA236" s="45"/>
      <c r="AB236" s="45"/>
      <c r="AC236" s="45"/>
      <c r="AD236" s="45"/>
      <c r="AE236" s="45"/>
      <c r="AF236" s="45"/>
      <c r="AG236" s="45"/>
      <c r="AH236" s="45"/>
      <c r="AI236" s="45"/>
      <c r="AJ236" s="45"/>
      <c r="AK236" s="45"/>
    </row>
    <row r="237" spans="2:37" s="97" customFormat="1" x14ac:dyDescent="0.25">
      <c r="B237" s="98"/>
      <c r="C237" s="45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45"/>
      <c r="R237" s="45"/>
      <c r="S237" s="45"/>
      <c r="T237" s="45"/>
      <c r="U237" s="45"/>
      <c r="V237" s="45"/>
      <c r="W237" s="45"/>
      <c r="X237" s="45"/>
      <c r="Y237" s="45"/>
      <c r="Z237" s="45"/>
      <c r="AA237" s="45"/>
      <c r="AB237" s="45"/>
      <c r="AC237" s="45"/>
      <c r="AD237" s="45"/>
      <c r="AE237" s="45"/>
      <c r="AF237" s="45"/>
      <c r="AG237" s="45"/>
      <c r="AH237" s="45"/>
      <c r="AI237" s="45"/>
      <c r="AJ237" s="45"/>
      <c r="AK237" s="45"/>
    </row>
    <row r="238" spans="2:37" s="97" customFormat="1" x14ac:dyDescent="0.25">
      <c r="B238" s="98"/>
      <c r="C238" s="45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45"/>
      <c r="R238" s="45"/>
      <c r="S238" s="45"/>
      <c r="T238" s="45"/>
      <c r="U238" s="45"/>
      <c r="V238" s="45"/>
      <c r="W238" s="45"/>
      <c r="X238" s="45"/>
      <c r="Y238" s="45"/>
      <c r="Z238" s="45"/>
      <c r="AA238" s="45"/>
      <c r="AB238" s="45"/>
      <c r="AC238" s="45"/>
      <c r="AD238" s="45"/>
      <c r="AE238" s="45"/>
      <c r="AF238" s="45"/>
      <c r="AG238" s="45"/>
      <c r="AH238" s="45"/>
      <c r="AI238" s="45"/>
      <c r="AJ238" s="45"/>
      <c r="AK238" s="45"/>
    </row>
    <row r="239" spans="2:37" s="97" customFormat="1" x14ac:dyDescent="0.25">
      <c r="B239" s="98"/>
      <c r="C239" s="45"/>
      <c r="D239" s="45"/>
      <c r="E239" s="45"/>
      <c r="F239" s="45"/>
      <c r="G239" s="45"/>
      <c r="H239" s="45"/>
      <c r="I239" s="45"/>
      <c r="J239" s="45"/>
      <c r="K239" s="45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45"/>
      <c r="W239" s="45"/>
      <c r="X239" s="45"/>
      <c r="Y239" s="45"/>
      <c r="Z239" s="45"/>
      <c r="AA239" s="45"/>
      <c r="AB239" s="45"/>
      <c r="AC239" s="45"/>
      <c r="AD239" s="45"/>
      <c r="AE239" s="45"/>
      <c r="AF239" s="45"/>
      <c r="AG239" s="45"/>
      <c r="AH239" s="45"/>
      <c r="AI239" s="45"/>
      <c r="AJ239" s="45"/>
      <c r="AK239" s="45"/>
    </row>
    <row r="240" spans="2:37" s="97" customFormat="1" x14ac:dyDescent="0.25">
      <c r="B240" s="98"/>
      <c r="C240" s="45"/>
      <c r="D240" s="45"/>
      <c r="E240" s="45"/>
      <c r="F240" s="45"/>
      <c r="G240" s="45"/>
      <c r="H240" s="45"/>
      <c r="I240" s="45"/>
      <c r="J240" s="45"/>
      <c r="K240" s="45"/>
      <c r="L240" s="45"/>
      <c r="M240" s="45"/>
      <c r="N240" s="45"/>
      <c r="O240" s="45"/>
      <c r="P240" s="45"/>
      <c r="Q240" s="45"/>
      <c r="R240" s="45"/>
      <c r="S240" s="45"/>
      <c r="T240" s="45"/>
      <c r="U240" s="45"/>
      <c r="V240" s="45"/>
      <c r="W240" s="45"/>
      <c r="X240" s="45"/>
      <c r="Y240" s="45"/>
      <c r="Z240" s="45"/>
      <c r="AA240" s="45"/>
      <c r="AB240" s="45"/>
      <c r="AC240" s="45"/>
      <c r="AD240" s="45"/>
      <c r="AE240" s="45"/>
      <c r="AF240" s="45"/>
      <c r="AG240" s="45"/>
      <c r="AH240" s="45"/>
      <c r="AI240" s="45"/>
      <c r="AJ240" s="45"/>
      <c r="AK240" s="45"/>
    </row>
    <row r="241" spans="2:2" x14ac:dyDescent="0.25">
      <c r="B241" s="98"/>
    </row>
    <row r="242" spans="2:2" x14ac:dyDescent="0.25">
      <c r="B242" s="98"/>
    </row>
    <row r="243" spans="2:2" x14ac:dyDescent="0.25">
      <c r="B243" s="98"/>
    </row>
    <row r="244" spans="2:2" x14ac:dyDescent="0.25">
      <c r="B244" s="98"/>
    </row>
    <row r="245" spans="2:2" x14ac:dyDescent="0.25">
      <c r="B245" s="98"/>
    </row>
    <row r="246" spans="2:2" x14ac:dyDescent="0.25">
      <c r="B246" s="98"/>
    </row>
    <row r="247" spans="2:2" x14ac:dyDescent="0.25">
      <c r="B247" s="98"/>
    </row>
    <row r="248" spans="2:2" x14ac:dyDescent="0.25">
      <c r="B248" s="98"/>
    </row>
  </sheetData>
  <mergeCells count="21">
    <mergeCell ref="S8:T8"/>
    <mergeCell ref="AE8:AF8"/>
    <mergeCell ref="AH8:AI8"/>
    <mergeCell ref="C7:G7"/>
    <mergeCell ref="H7:L7"/>
    <mergeCell ref="M7:Q7"/>
    <mergeCell ref="R7:V7"/>
    <mergeCell ref="W7:AA7"/>
    <mergeCell ref="AB7:AF7"/>
    <mergeCell ref="D8:E8"/>
    <mergeCell ref="F8:G8"/>
    <mergeCell ref="I8:J8"/>
    <mergeCell ref="K8:L8"/>
    <mergeCell ref="N8:O8"/>
    <mergeCell ref="P8:Q8"/>
    <mergeCell ref="AG7:AK7"/>
    <mergeCell ref="AJ8:AK8"/>
    <mergeCell ref="U8:V8"/>
    <mergeCell ref="X8:Y8"/>
    <mergeCell ref="Z8:AA8"/>
    <mergeCell ref="AC8:AD8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248"/>
  <sheetViews>
    <sheetView workbookViewId="0">
      <selection activeCell="AH19" sqref="AH19"/>
    </sheetView>
  </sheetViews>
  <sheetFormatPr baseColWidth="10" defaultColWidth="11.44140625" defaultRowHeight="13.2" x14ac:dyDescent="0.25"/>
  <cols>
    <col min="1" max="1" width="3.6640625" style="45" customWidth="1"/>
    <col min="2" max="2" width="21.33203125" style="46" customWidth="1"/>
    <col min="3" max="3" width="6.6640625" style="45" customWidth="1"/>
    <col min="4" max="9" width="6.5546875" style="45" customWidth="1"/>
    <col min="10" max="10" width="6.6640625" style="45" customWidth="1"/>
    <col min="11" max="16" width="6.5546875" style="45" customWidth="1"/>
    <col min="17" max="17" width="6.6640625" style="45" customWidth="1"/>
    <col min="18" max="23" width="6.5546875" style="45" customWidth="1"/>
    <col min="24" max="37" width="7.6640625" style="47" customWidth="1"/>
    <col min="38" max="16384" width="11.44140625" style="47"/>
  </cols>
  <sheetData>
    <row r="3" spans="1:37" s="43" customFormat="1" x14ac:dyDescent="0.25">
      <c r="A3" s="43" t="s">
        <v>31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</row>
    <row r="4" spans="1:37" s="43" customFormat="1" x14ac:dyDescent="0.25">
      <c r="A4" s="43" t="s">
        <v>61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</row>
    <row r="6" spans="1:37" ht="13.8" thickBot="1" x14ac:dyDescent="0.3"/>
    <row r="7" spans="1:37" s="50" customFormat="1" ht="15" customHeight="1" x14ac:dyDescent="0.25">
      <c r="A7" s="48"/>
      <c r="B7" s="49"/>
      <c r="C7" s="338" t="s">
        <v>56</v>
      </c>
      <c r="D7" s="336"/>
      <c r="E7" s="336"/>
      <c r="F7" s="336"/>
      <c r="G7" s="336"/>
      <c r="H7" s="336"/>
      <c r="I7" s="337"/>
      <c r="J7" s="335" t="s">
        <v>57</v>
      </c>
      <c r="K7" s="336"/>
      <c r="L7" s="336"/>
      <c r="M7" s="336"/>
      <c r="N7" s="336"/>
      <c r="O7" s="336"/>
      <c r="P7" s="337"/>
      <c r="Q7" s="335" t="s">
        <v>60</v>
      </c>
      <c r="R7" s="336"/>
      <c r="S7" s="336"/>
      <c r="T7" s="336"/>
      <c r="U7" s="336"/>
      <c r="V7" s="336"/>
      <c r="W7" s="337"/>
      <c r="X7" s="335" t="s">
        <v>67</v>
      </c>
      <c r="Y7" s="336"/>
      <c r="Z7" s="336"/>
      <c r="AA7" s="336"/>
      <c r="AB7" s="336"/>
      <c r="AC7" s="336"/>
      <c r="AD7" s="337"/>
      <c r="AE7" s="335" t="s">
        <v>77</v>
      </c>
      <c r="AF7" s="336"/>
      <c r="AG7" s="336"/>
      <c r="AH7" s="336"/>
      <c r="AI7" s="336"/>
      <c r="AJ7" s="336"/>
      <c r="AK7" s="337"/>
    </row>
    <row r="8" spans="1:37" ht="38.25" customHeight="1" x14ac:dyDescent="0.25">
      <c r="A8" s="51" t="s">
        <v>27</v>
      </c>
      <c r="B8" s="52" t="s">
        <v>28</v>
      </c>
      <c r="C8" s="74" t="s">
        <v>29</v>
      </c>
      <c r="D8" s="333" t="s">
        <v>62</v>
      </c>
      <c r="E8" s="333"/>
      <c r="F8" s="333" t="s">
        <v>63</v>
      </c>
      <c r="G8" s="333"/>
      <c r="H8" s="333" t="s">
        <v>64</v>
      </c>
      <c r="I8" s="334"/>
      <c r="J8" s="124" t="s">
        <v>29</v>
      </c>
      <c r="K8" s="333" t="s">
        <v>62</v>
      </c>
      <c r="L8" s="333"/>
      <c r="M8" s="333" t="s">
        <v>63</v>
      </c>
      <c r="N8" s="333"/>
      <c r="O8" s="333" t="s">
        <v>64</v>
      </c>
      <c r="P8" s="334"/>
      <c r="Q8" s="124" t="s">
        <v>29</v>
      </c>
      <c r="R8" s="333" t="s">
        <v>62</v>
      </c>
      <c r="S8" s="333"/>
      <c r="T8" s="333" t="s">
        <v>63</v>
      </c>
      <c r="U8" s="333"/>
      <c r="V8" s="333" t="s">
        <v>64</v>
      </c>
      <c r="W8" s="334"/>
      <c r="X8" s="124" t="s">
        <v>29</v>
      </c>
      <c r="Y8" s="333" t="s">
        <v>62</v>
      </c>
      <c r="Z8" s="333"/>
      <c r="AA8" s="333" t="s">
        <v>63</v>
      </c>
      <c r="AB8" s="333"/>
      <c r="AC8" s="333" t="s">
        <v>64</v>
      </c>
      <c r="AD8" s="334"/>
      <c r="AE8" s="124" t="s">
        <v>29</v>
      </c>
      <c r="AF8" s="333" t="s">
        <v>62</v>
      </c>
      <c r="AG8" s="333"/>
      <c r="AH8" s="333" t="s">
        <v>63</v>
      </c>
      <c r="AI8" s="333"/>
      <c r="AJ8" s="333" t="s">
        <v>64</v>
      </c>
      <c r="AK8" s="334"/>
    </row>
    <row r="9" spans="1:37" s="57" customFormat="1" ht="15" customHeight="1" thickBot="1" x14ac:dyDescent="0.3">
      <c r="A9" s="51"/>
      <c r="B9" s="52"/>
      <c r="C9" s="74"/>
      <c r="D9" s="76" t="s">
        <v>35</v>
      </c>
      <c r="E9" s="76" t="s">
        <v>36</v>
      </c>
      <c r="F9" s="76" t="s">
        <v>35</v>
      </c>
      <c r="G9" s="76" t="s">
        <v>36</v>
      </c>
      <c r="H9" s="76" t="s">
        <v>35</v>
      </c>
      <c r="I9" s="132" t="s">
        <v>36</v>
      </c>
      <c r="J9" s="124"/>
      <c r="K9" s="76" t="s">
        <v>35</v>
      </c>
      <c r="L9" s="76" t="s">
        <v>36</v>
      </c>
      <c r="M9" s="76" t="s">
        <v>35</v>
      </c>
      <c r="N9" s="76" t="s">
        <v>36</v>
      </c>
      <c r="O9" s="76" t="s">
        <v>35</v>
      </c>
      <c r="P9" s="132" t="s">
        <v>36</v>
      </c>
      <c r="Q9" s="124"/>
      <c r="R9" s="76" t="s">
        <v>35</v>
      </c>
      <c r="S9" s="76" t="s">
        <v>36</v>
      </c>
      <c r="T9" s="76" t="s">
        <v>35</v>
      </c>
      <c r="U9" s="76" t="s">
        <v>36</v>
      </c>
      <c r="V9" s="76" t="s">
        <v>35</v>
      </c>
      <c r="W9" s="132" t="s">
        <v>36</v>
      </c>
      <c r="X9" s="124"/>
      <c r="Y9" s="76" t="s">
        <v>35</v>
      </c>
      <c r="Z9" s="76" t="s">
        <v>36</v>
      </c>
      <c r="AA9" s="76" t="s">
        <v>35</v>
      </c>
      <c r="AB9" s="76" t="s">
        <v>36</v>
      </c>
      <c r="AC9" s="76" t="s">
        <v>35</v>
      </c>
      <c r="AD9" s="132" t="s">
        <v>36</v>
      </c>
      <c r="AE9" s="124"/>
      <c r="AF9" s="76" t="s">
        <v>35</v>
      </c>
      <c r="AG9" s="76" t="s">
        <v>36</v>
      </c>
      <c r="AH9" s="76" t="s">
        <v>35</v>
      </c>
      <c r="AI9" s="76" t="s">
        <v>36</v>
      </c>
      <c r="AJ9" s="76" t="s">
        <v>35</v>
      </c>
      <c r="AK9" s="132" t="s">
        <v>36</v>
      </c>
    </row>
    <row r="10" spans="1:37" s="65" customFormat="1" ht="15" customHeight="1" thickBot="1" x14ac:dyDescent="0.3">
      <c r="A10" s="58">
        <v>1</v>
      </c>
      <c r="B10" s="59">
        <v>2</v>
      </c>
      <c r="C10" s="133">
        <v>3</v>
      </c>
      <c r="D10" s="130">
        <v>4</v>
      </c>
      <c r="E10" s="130">
        <v>5</v>
      </c>
      <c r="F10" s="130">
        <v>6</v>
      </c>
      <c r="G10" s="130">
        <v>7</v>
      </c>
      <c r="H10" s="130">
        <v>8</v>
      </c>
      <c r="I10" s="134">
        <v>9</v>
      </c>
      <c r="J10" s="139">
        <v>10</v>
      </c>
      <c r="K10" s="130">
        <v>11</v>
      </c>
      <c r="L10" s="130">
        <v>12</v>
      </c>
      <c r="M10" s="130">
        <v>13</v>
      </c>
      <c r="N10" s="130">
        <v>14</v>
      </c>
      <c r="O10" s="130">
        <v>15</v>
      </c>
      <c r="P10" s="134">
        <v>16</v>
      </c>
      <c r="Q10" s="139">
        <v>17</v>
      </c>
      <c r="R10" s="130">
        <v>18</v>
      </c>
      <c r="S10" s="130">
        <v>19</v>
      </c>
      <c r="T10" s="130">
        <v>20</v>
      </c>
      <c r="U10" s="130">
        <v>21</v>
      </c>
      <c r="V10" s="130">
        <v>22</v>
      </c>
      <c r="W10" s="134">
        <v>23</v>
      </c>
      <c r="X10" s="139">
        <v>17</v>
      </c>
      <c r="Y10" s="130">
        <v>18</v>
      </c>
      <c r="Z10" s="130">
        <v>19</v>
      </c>
      <c r="AA10" s="130">
        <v>20</v>
      </c>
      <c r="AB10" s="130">
        <v>21</v>
      </c>
      <c r="AC10" s="130">
        <v>22</v>
      </c>
      <c r="AD10" s="134">
        <v>23</v>
      </c>
      <c r="AE10" s="139">
        <v>17</v>
      </c>
      <c r="AF10" s="130">
        <v>18</v>
      </c>
      <c r="AG10" s="130">
        <v>19</v>
      </c>
      <c r="AH10" s="130">
        <v>20</v>
      </c>
      <c r="AI10" s="130">
        <v>21</v>
      </c>
      <c r="AJ10" s="130">
        <v>22</v>
      </c>
      <c r="AK10" s="134">
        <v>23</v>
      </c>
    </row>
    <row r="11" spans="1:37" ht="26.4" customHeight="1" x14ac:dyDescent="0.25">
      <c r="A11" s="66">
        <v>1</v>
      </c>
      <c r="B11" s="125" t="s">
        <v>10</v>
      </c>
      <c r="C11" s="68">
        <v>551</v>
      </c>
      <c r="D11" s="76"/>
      <c r="E11" s="131">
        <f>D11*100/C11</f>
        <v>0</v>
      </c>
      <c r="F11" s="76"/>
      <c r="G11" s="131">
        <f>F11*100/C11</f>
        <v>0</v>
      </c>
      <c r="H11" s="131"/>
      <c r="I11" s="78"/>
      <c r="J11" s="124">
        <v>557</v>
      </c>
      <c r="K11" s="76"/>
      <c r="L11" s="131">
        <f>K11*100/J11</f>
        <v>0</v>
      </c>
      <c r="M11" s="76"/>
      <c r="N11" s="131">
        <f>M11*100/J11</f>
        <v>0</v>
      </c>
      <c r="O11" s="131"/>
      <c r="P11" s="78"/>
      <c r="Q11" s="124">
        <v>557</v>
      </c>
      <c r="R11" s="76">
        <v>3</v>
      </c>
      <c r="S11" s="131">
        <f>R11*100/Q11</f>
        <v>0.53859964093357271</v>
      </c>
      <c r="T11" s="76">
        <v>0</v>
      </c>
      <c r="U11" s="131">
        <f>T11*100/Q11</f>
        <v>0</v>
      </c>
      <c r="V11" s="141">
        <v>0</v>
      </c>
      <c r="W11" s="78">
        <f>V11/Q11*100</f>
        <v>0</v>
      </c>
      <c r="X11" s="124"/>
      <c r="Y11" s="76"/>
      <c r="Z11" s="131" t="e">
        <f>Y11*100/X11</f>
        <v>#DIV/0!</v>
      </c>
      <c r="AA11" s="76"/>
      <c r="AB11" s="131" t="e">
        <f>AA11*100/X11</f>
        <v>#DIV/0!</v>
      </c>
      <c r="AC11" s="141">
        <v>0</v>
      </c>
      <c r="AD11" s="78" t="e">
        <f>AC11/X11*100</f>
        <v>#DIV/0!</v>
      </c>
      <c r="AE11" s="124"/>
      <c r="AF11" s="76"/>
      <c r="AG11" s="131" t="e">
        <f>AF11*100/AE11</f>
        <v>#DIV/0!</v>
      </c>
      <c r="AH11" s="76">
        <v>0</v>
      </c>
      <c r="AI11" s="131" t="e">
        <f>AH11*100/AE11</f>
        <v>#DIV/0!</v>
      </c>
      <c r="AJ11" s="141">
        <v>0</v>
      </c>
      <c r="AK11" s="78" t="e">
        <f>AJ11/AE11*100</f>
        <v>#DIV/0!</v>
      </c>
    </row>
    <row r="12" spans="1:37" ht="26.4" customHeight="1" x14ac:dyDescent="0.25">
      <c r="A12" s="74">
        <f t="shared" ref="A12:A19" si="0">A11+1</f>
        <v>2</v>
      </c>
      <c r="B12" s="126" t="s">
        <v>11</v>
      </c>
      <c r="C12" s="74">
        <v>337</v>
      </c>
      <c r="D12" s="76"/>
      <c r="E12" s="131">
        <f t="shared" ref="E12:E20" si="1">D12*100/C12</f>
        <v>0</v>
      </c>
      <c r="F12" s="76"/>
      <c r="G12" s="131">
        <f t="shared" ref="G12:G20" si="2">F12*100/C12</f>
        <v>0</v>
      </c>
      <c r="H12" s="131"/>
      <c r="I12" s="78"/>
      <c r="J12" s="124">
        <v>356</v>
      </c>
      <c r="K12" s="76"/>
      <c r="L12" s="131">
        <f t="shared" ref="L12:L20" si="3">K12*100/J12</f>
        <v>0</v>
      </c>
      <c r="M12" s="76"/>
      <c r="N12" s="131">
        <f t="shared" ref="N12:N20" si="4">M12*100/J12</f>
        <v>0</v>
      </c>
      <c r="O12" s="131"/>
      <c r="P12" s="78"/>
      <c r="Q12" s="124">
        <v>358</v>
      </c>
      <c r="R12" s="76">
        <v>7</v>
      </c>
      <c r="S12" s="131">
        <f t="shared" ref="S12:S20" si="5">R12*100/Q12</f>
        <v>1.9553072625698324</v>
      </c>
      <c r="T12" s="76">
        <v>0</v>
      </c>
      <c r="U12" s="131">
        <f t="shared" ref="U12:U20" si="6">T12*100/Q12</f>
        <v>0</v>
      </c>
      <c r="V12" s="141">
        <v>0</v>
      </c>
      <c r="W12" s="78">
        <f>V12/Q12*100</f>
        <v>0</v>
      </c>
      <c r="X12" s="124"/>
      <c r="Y12" s="76"/>
      <c r="Z12" s="131" t="e">
        <f t="shared" ref="Z12:Z20" si="7">Y12*100/X12</f>
        <v>#DIV/0!</v>
      </c>
      <c r="AA12" s="76"/>
      <c r="AB12" s="131" t="e">
        <f t="shared" ref="AB12:AB20" si="8">AA12*100/X12</f>
        <v>#DIV/0!</v>
      </c>
      <c r="AC12" s="141">
        <v>0</v>
      </c>
      <c r="AD12" s="78" t="e">
        <f>AC12/X12*100</f>
        <v>#DIV/0!</v>
      </c>
      <c r="AE12" s="124">
        <v>325</v>
      </c>
      <c r="AF12" s="76">
        <v>18</v>
      </c>
      <c r="AG12" s="131">
        <f t="shared" ref="AG12:AG20" si="9">AF12*100/AE12</f>
        <v>5.5384615384615383</v>
      </c>
      <c r="AH12" s="76">
        <v>0</v>
      </c>
      <c r="AI12" s="131">
        <f t="shared" ref="AI12:AI20" si="10">AH12*100/AE12</f>
        <v>0</v>
      </c>
      <c r="AJ12" s="141">
        <v>0</v>
      </c>
      <c r="AK12" s="78">
        <f>AJ12/AE12*100</f>
        <v>0</v>
      </c>
    </row>
    <row r="13" spans="1:37" ht="26.4" customHeight="1" x14ac:dyDescent="0.25">
      <c r="A13" s="74">
        <f t="shared" si="0"/>
        <v>3</v>
      </c>
      <c r="B13" s="126" t="s">
        <v>22</v>
      </c>
      <c r="C13" s="74">
        <v>432</v>
      </c>
      <c r="D13" s="76"/>
      <c r="E13" s="131">
        <f t="shared" si="1"/>
        <v>0</v>
      </c>
      <c r="F13" s="76"/>
      <c r="G13" s="131">
        <f t="shared" si="2"/>
        <v>0</v>
      </c>
      <c r="H13" s="131"/>
      <c r="I13" s="78"/>
      <c r="J13" s="124">
        <v>410</v>
      </c>
      <c r="K13" s="76"/>
      <c r="L13" s="131">
        <f t="shared" si="3"/>
        <v>0</v>
      </c>
      <c r="M13" s="76"/>
      <c r="N13" s="131">
        <f t="shared" si="4"/>
        <v>0</v>
      </c>
      <c r="O13" s="131"/>
      <c r="P13" s="78"/>
      <c r="Q13" s="124">
        <v>432</v>
      </c>
      <c r="R13" s="76">
        <v>7</v>
      </c>
      <c r="S13" s="131">
        <f t="shared" si="5"/>
        <v>1.6203703703703705</v>
      </c>
      <c r="T13" s="76">
        <v>0</v>
      </c>
      <c r="U13" s="131">
        <f t="shared" si="6"/>
        <v>0</v>
      </c>
      <c r="V13" s="141">
        <v>0</v>
      </c>
      <c r="W13" s="78">
        <f>V13/Q13*100</f>
        <v>0</v>
      </c>
      <c r="X13" s="124"/>
      <c r="Y13" s="76"/>
      <c r="Z13" s="131" t="e">
        <f t="shared" si="7"/>
        <v>#DIV/0!</v>
      </c>
      <c r="AA13" s="76"/>
      <c r="AB13" s="131" t="e">
        <f t="shared" si="8"/>
        <v>#DIV/0!</v>
      </c>
      <c r="AC13" s="141">
        <v>0</v>
      </c>
      <c r="AD13" s="78" t="e">
        <f>AC13/X13*100</f>
        <v>#DIV/0!</v>
      </c>
      <c r="AE13" s="124"/>
      <c r="AF13" s="76"/>
      <c r="AG13" s="131" t="e">
        <f t="shared" si="9"/>
        <v>#DIV/0!</v>
      </c>
      <c r="AH13" s="76">
        <v>0</v>
      </c>
      <c r="AI13" s="131" t="e">
        <f t="shared" si="10"/>
        <v>#DIV/0!</v>
      </c>
      <c r="AJ13" s="141">
        <v>0</v>
      </c>
      <c r="AK13" s="78" t="e">
        <f>AJ13/AE13*100</f>
        <v>#DIV/0!</v>
      </c>
    </row>
    <row r="14" spans="1:37" ht="26.4" customHeight="1" x14ac:dyDescent="0.25">
      <c r="A14" s="74">
        <f t="shared" si="0"/>
        <v>4</v>
      </c>
      <c r="B14" s="126" t="s">
        <v>21</v>
      </c>
      <c r="C14" s="74">
        <v>511</v>
      </c>
      <c r="D14" s="76"/>
      <c r="E14" s="131">
        <f t="shared" si="1"/>
        <v>0</v>
      </c>
      <c r="F14" s="76"/>
      <c r="G14" s="131">
        <f t="shared" si="2"/>
        <v>0</v>
      </c>
      <c r="H14" s="131"/>
      <c r="I14" s="78"/>
      <c r="J14" s="124">
        <v>522</v>
      </c>
      <c r="K14" s="76"/>
      <c r="L14" s="131">
        <f t="shared" si="3"/>
        <v>0</v>
      </c>
      <c r="M14" s="76"/>
      <c r="N14" s="131">
        <f t="shared" si="4"/>
        <v>0</v>
      </c>
      <c r="O14" s="131"/>
      <c r="P14" s="78"/>
      <c r="Q14" s="124">
        <v>528</v>
      </c>
      <c r="R14" s="76">
        <v>0</v>
      </c>
      <c r="S14" s="131">
        <f t="shared" si="5"/>
        <v>0</v>
      </c>
      <c r="T14" s="76">
        <v>0</v>
      </c>
      <c r="U14" s="131">
        <f t="shared" si="6"/>
        <v>0</v>
      </c>
      <c r="V14" s="141">
        <v>0</v>
      </c>
      <c r="W14" s="78">
        <f>V14/Q14*100</f>
        <v>0</v>
      </c>
      <c r="X14" s="124"/>
      <c r="Y14" s="76"/>
      <c r="Z14" s="131" t="e">
        <f t="shared" si="7"/>
        <v>#DIV/0!</v>
      </c>
      <c r="AA14" s="76"/>
      <c r="AB14" s="131" t="e">
        <f t="shared" si="8"/>
        <v>#DIV/0!</v>
      </c>
      <c r="AC14" s="141">
        <v>0</v>
      </c>
      <c r="AD14" s="78" t="e">
        <f>AC14/X14*100</f>
        <v>#DIV/0!</v>
      </c>
      <c r="AE14" s="124">
        <v>510</v>
      </c>
      <c r="AF14" s="76">
        <v>12</v>
      </c>
      <c r="AG14" s="131">
        <f t="shared" si="9"/>
        <v>2.3529411764705883</v>
      </c>
      <c r="AH14" s="151">
        <v>12</v>
      </c>
      <c r="AI14" s="131">
        <f t="shared" si="10"/>
        <v>2.3529411764705883</v>
      </c>
      <c r="AJ14" s="141">
        <v>0</v>
      </c>
      <c r="AK14" s="78">
        <f>AJ14/AE14*100</f>
        <v>0</v>
      </c>
    </row>
    <row r="15" spans="1:37" ht="26.4" customHeight="1" x14ac:dyDescent="0.25">
      <c r="A15" s="74">
        <f t="shared" si="0"/>
        <v>5</v>
      </c>
      <c r="B15" s="126" t="s">
        <v>12</v>
      </c>
      <c r="C15" s="74">
        <v>583</v>
      </c>
      <c r="D15" s="76"/>
      <c r="E15" s="131">
        <f t="shared" si="1"/>
        <v>0</v>
      </c>
      <c r="F15" s="76"/>
      <c r="G15" s="131">
        <f t="shared" si="2"/>
        <v>0</v>
      </c>
      <c r="H15" s="131"/>
      <c r="I15" s="78"/>
      <c r="J15" s="124">
        <v>585</v>
      </c>
      <c r="K15" s="76"/>
      <c r="L15" s="131">
        <f t="shared" si="3"/>
        <v>0</v>
      </c>
      <c r="M15" s="76"/>
      <c r="N15" s="131">
        <f t="shared" si="4"/>
        <v>0</v>
      </c>
      <c r="O15" s="131"/>
      <c r="P15" s="78"/>
      <c r="Q15" s="124">
        <v>561</v>
      </c>
      <c r="R15" s="76">
        <v>0</v>
      </c>
      <c r="S15" s="131">
        <f t="shared" si="5"/>
        <v>0</v>
      </c>
      <c r="T15" s="76">
        <v>0</v>
      </c>
      <c r="U15" s="131">
        <f t="shared" si="6"/>
        <v>0</v>
      </c>
      <c r="V15" s="141">
        <v>0</v>
      </c>
      <c r="W15" s="78">
        <f t="shared" ref="W15:W20" si="11">V15/Q15*100</f>
        <v>0</v>
      </c>
      <c r="X15" s="124"/>
      <c r="Y15" s="76"/>
      <c r="Z15" s="131" t="e">
        <f t="shared" si="7"/>
        <v>#DIV/0!</v>
      </c>
      <c r="AA15" s="76"/>
      <c r="AB15" s="131" t="e">
        <f t="shared" si="8"/>
        <v>#DIV/0!</v>
      </c>
      <c r="AC15" s="141">
        <v>0</v>
      </c>
      <c r="AD15" s="78" t="e">
        <f t="shared" ref="AD15:AD20" si="12">AC15/X15*100</f>
        <v>#DIV/0!</v>
      </c>
      <c r="AE15" s="124"/>
      <c r="AF15" s="76"/>
      <c r="AG15" s="131" t="e">
        <f t="shared" si="9"/>
        <v>#DIV/0!</v>
      </c>
      <c r="AH15" s="76">
        <v>0</v>
      </c>
      <c r="AI15" s="131" t="e">
        <f t="shared" si="10"/>
        <v>#DIV/0!</v>
      </c>
      <c r="AJ15" s="141">
        <v>0</v>
      </c>
      <c r="AK15" s="78" t="e">
        <f t="shared" ref="AK15:AK20" si="13">AJ15/AE15*100</f>
        <v>#DIV/0!</v>
      </c>
    </row>
    <row r="16" spans="1:37" ht="26.4" customHeight="1" x14ac:dyDescent="0.25">
      <c r="A16" s="74">
        <f t="shared" si="0"/>
        <v>6</v>
      </c>
      <c r="B16" s="126" t="s">
        <v>20</v>
      </c>
      <c r="C16" s="74">
        <v>471</v>
      </c>
      <c r="D16" s="76"/>
      <c r="E16" s="131">
        <f t="shared" si="1"/>
        <v>0</v>
      </c>
      <c r="F16" s="76"/>
      <c r="G16" s="131">
        <f t="shared" si="2"/>
        <v>0</v>
      </c>
      <c r="H16" s="131"/>
      <c r="I16" s="78"/>
      <c r="J16" s="124">
        <v>474</v>
      </c>
      <c r="K16" s="76"/>
      <c r="L16" s="131">
        <f t="shared" si="3"/>
        <v>0</v>
      </c>
      <c r="M16" s="76"/>
      <c r="N16" s="131">
        <f t="shared" si="4"/>
        <v>0</v>
      </c>
      <c r="O16" s="131"/>
      <c r="P16" s="78"/>
      <c r="Q16" s="124">
        <v>453</v>
      </c>
      <c r="R16" s="76">
        <v>0</v>
      </c>
      <c r="S16" s="131">
        <f t="shared" si="5"/>
        <v>0</v>
      </c>
      <c r="T16" s="76">
        <v>0</v>
      </c>
      <c r="U16" s="131">
        <f t="shared" si="6"/>
        <v>0</v>
      </c>
      <c r="V16" s="141">
        <v>0</v>
      </c>
      <c r="W16" s="78">
        <f t="shared" si="11"/>
        <v>0</v>
      </c>
      <c r="X16" s="124"/>
      <c r="Y16" s="76"/>
      <c r="Z16" s="131" t="e">
        <f t="shared" si="7"/>
        <v>#DIV/0!</v>
      </c>
      <c r="AA16" s="76"/>
      <c r="AB16" s="131" t="e">
        <f t="shared" si="8"/>
        <v>#DIV/0!</v>
      </c>
      <c r="AC16" s="141">
        <v>0</v>
      </c>
      <c r="AD16" s="78" t="e">
        <f t="shared" si="12"/>
        <v>#DIV/0!</v>
      </c>
      <c r="AE16" s="124"/>
      <c r="AF16" s="76"/>
      <c r="AG16" s="131" t="e">
        <f t="shared" si="9"/>
        <v>#DIV/0!</v>
      </c>
      <c r="AH16" s="76">
        <v>0</v>
      </c>
      <c r="AI16" s="131" t="e">
        <f t="shared" si="10"/>
        <v>#DIV/0!</v>
      </c>
      <c r="AJ16" s="141">
        <v>0</v>
      </c>
      <c r="AK16" s="78" t="e">
        <f t="shared" si="13"/>
        <v>#DIV/0!</v>
      </c>
    </row>
    <row r="17" spans="1:37" ht="26.4" customHeight="1" x14ac:dyDescent="0.25">
      <c r="A17" s="74">
        <f t="shared" si="0"/>
        <v>7</v>
      </c>
      <c r="B17" s="126" t="s">
        <v>14</v>
      </c>
      <c r="C17" s="74">
        <v>670</v>
      </c>
      <c r="D17" s="76"/>
      <c r="E17" s="131">
        <f t="shared" si="1"/>
        <v>0</v>
      </c>
      <c r="F17" s="76"/>
      <c r="G17" s="131">
        <f t="shared" si="2"/>
        <v>0</v>
      </c>
      <c r="H17" s="131"/>
      <c r="I17" s="78"/>
      <c r="J17" s="124">
        <v>685</v>
      </c>
      <c r="K17" s="76"/>
      <c r="L17" s="131">
        <f t="shared" si="3"/>
        <v>0</v>
      </c>
      <c r="M17" s="76"/>
      <c r="N17" s="131">
        <f t="shared" si="4"/>
        <v>0</v>
      </c>
      <c r="O17" s="131"/>
      <c r="P17" s="78"/>
      <c r="Q17" s="124">
        <v>684</v>
      </c>
      <c r="R17" s="76">
        <v>0</v>
      </c>
      <c r="S17" s="131">
        <f t="shared" si="5"/>
        <v>0</v>
      </c>
      <c r="T17" s="76">
        <v>0</v>
      </c>
      <c r="U17" s="131">
        <f t="shared" si="6"/>
        <v>0</v>
      </c>
      <c r="V17" s="141">
        <v>0</v>
      </c>
      <c r="W17" s="78">
        <f t="shared" si="11"/>
        <v>0</v>
      </c>
      <c r="X17" s="124"/>
      <c r="Y17" s="76"/>
      <c r="Z17" s="131" t="e">
        <f t="shared" si="7"/>
        <v>#DIV/0!</v>
      </c>
      <c r="AA17" s="76"/>
      <c r="AB17" s="131" t="e">
        <f t="shared" si="8"/>
        <v>#DIV/0!</v>
      </c>
      <c r="AC17" s="141">
        <v>0</v>
      </c>
      <c r="AD17" s="78" t="e">
        <f t="shared" si="12"/>
        <v>#DIV/0!</v>
      </c>
      <c r="AE17" s="124"/>
      <c r="AF17" s="76"/>
      <c r="AG17" s="131" t="e">
        <f t="shared" si="9"/>
        <v>#DIV/0!</v>
      </c>
      <c r="AH17" s="76">
        <v>0</v>
      </c>
      <c r="AI17" s="131" t="e">
        <f t="shared" si="10"/>
        <v>#DIV/0!</v>
      </c>
      <c r="AJ17" s="141">
        <v>0</v>
      </c>
      <c r="AK17" s="78" t="e">
        <f t="shared" si="13"/>
        <v>#DIV/0!</v>
      </c>
    </row>
    <row r="18" spans="1:37" ht="26.4" customHeight="1" x14ac:dyDescent="0.25">
      <c r="A18" s="74">
        <f t="shared" si="0"/>
        <v>8</v>
      </c>
      <c r="B18" s="127" t="s">
        <v>16</v>
      </c>
      <c r="C18" s="74">
        <v>313</v>
      </c>
      <c r="D18" s="76"/>
      <c r="E18" s="131">
        <f t="shared" si="1"/>
        <v>0</v>
      </c>
      <c r="F18" s="76"/>
      <c r="G18" s="131">
        <f t="shared" si="2"/>
        <v>0</v>
      </c>
      <c r="H18" s="131"/>
      <c r="I18" s="78"/>
      <c r="J18" s="124">
        <v>302</v>
      </c>
      <c r="K18" s="76"/>
      <c r="L18" s="131">
        <f t="shared" si="3"/>
        <v>0</v>
      </c>
      <c r="M18" s="76"/>
      <c r="N18" s="131">
        <f t="shared" si="4"/>
        <v>0</v>
      </c>
      <c r="O18" s="131"/>
      <c r="P18" s="78"/>
      <c r="Q18" s="124">
        <v>309</v>
      </c>
      <c r="R18" s="76">
        <v>0</v>
      </c>
      <c r="S18" s="131">
        <f t="shared" si="5"/>
        <v>0</v>
      </c>
      <c r="T18" s="76">
        <v>0</v>
      </c>
      <c r="U18" s="131">
        <f t="shared" si="6"/>
        <v>0</v>
      </c>
      <c r="V18" s="141">
        <v>0</v>
      </c>
      <c r="W18" s="78">
        <f t="shared" si="11"/>
        <v>0</v>
      </c>
      <c r="X18" s="124"/>
      <c r="Y18" s="76"/>
      <c r="Z18" s="131" t="e">
        <f t="shared" si="7"/>
        <v>#DIV/0!</v>
      </c>
      <c r="AA18" s="76"/>
      <c r="AB18" s="131" t="e">
        <f t="shared" si="8"/>
        <v>#DIV/0!</v>
      </c>
      <c r="AC18" s="141">
        <v>0</v>
      </c>
      <c r="AD18" s="78" t="e">
        <f t="shared" si="12"/>
        <v>#DIV/0!</v>
      </c>
      <c r="AE18" s="124"/>
      <c r="AF18" s="76"/>
      <c r="AG18" s="131" t="e">
        <f t="shared" si="9"/>
        <v>#DIV/0!</v>
      </c>
      <c r="AH18" s="76">
        <v>0</v>
      </c>
      <c r="AI18" s="131" t="e">
        <f t="shared" si="10"/>
        <v>#DIV/0!</v>
      </c>
      <c r="AJ18" s="141">
        <v>0</v>
      </c>
      <c r="AK18" s="78" t="e">
        <f t="shared" si="13"/>
        <v>#DIV/0!</v>
      </c>
    </row>
    <row r="19" spans="1:37" ht="26.4" customHeight="1" thickBot="1" x14ac:dyDescent="0.3">
      <c r="A19" s="82">
        <f t="shared" si="0"/>
        <v>9</v>
      </c>
      <c r="B19" s="128" t="s">
        <v>17</v>
      </c>
      <c r="C19" s="82">
        <v>547</v>
      </c>
      <c r="D19" s="76"/>
      <c r="E19" s="131">
        <f t="shared" si="1"/>
        <v>0</v>
      </c>
      <c r="F19" s="76"/>
      <c r="G19" s="131">
        <f t="shared" si="2"/>
        <v>0</v>
      </c>
      <c r="H19" s="131"/>
      <c r="I19" s="78"/>
      <c r="J19" s="124">
        <v>542</v>
      </c>
      <c r="K19" s="76"/>
      <c r="L19" s="131">
        <f t="shared" si="3"/>
        <v>0</v>
      </c>
      <c r="M19" s="76"/>
      <c r="N19" s="131">
        <f t="shared" si="4"/>
        <v>0</v>
      </c>
      <c r="O19" s="131"/>
      <c r="P19" s="78"/>
      <c r="Q19" s="124">
        <v>551</v>
      </c>
      <c r="R19" s="76">
        <v>1</v>
      </c>
      <c r="S19" s="131">
        <f t="shared" si="5"/>
        <v>0.18148820326678766</v>
      </c>
      <c r="T19" s="76">
        <v>0</v>
      </c>
      <c r="U19" s="131">
        <f t="shared" si="6"/>
        <v>0</v>
      </c>
      <c r="V19" s="141">
        <v>0</v>
      </c>
      <c r="W19" s="78">
        <f t="shared" si="11"/>
        <v>0</v>
      </c>
      <c r="X19" s="124"/>
      <c r="Y19" s="76"/>
      <c r="Z19" s="131" t="e">
        <f t="shared" si="7"/>
        <v>#DIV/0!</v>
      </c>
      <c r="AA19" s="76"/>
      <c r="AB19" s="131" t="e">
        <f t="shared" si="8"/>
        <v>#DIV/0!</v>
      </c>
      <c r="AC19" s="141">
        <v>0</v>
      </c>
      <c r="AD19" s="78" t="e">
        <f t="shared" si="12"/>
        <v>#DIV/0!</v>
      </c>
      <c r="AE19" s="124">
        <v>549</v>
      </c>
      <c r="AF19" s="76">
        <v>3</v>
      </c>
      <c r="AG19" s="131">
        <f t="shared" si="9"/>
        <v>0.54644808743169404</v>
      </c>
      <c r="AH19" s="76">
        <v>0</v>
      </c>
      <c r="AI19" s="131">
        <f t="shared" si="10"/>
        <v>0</v>
      </c>
      <c r="AJ19" s="141">
        <v>0</v>
      </c>
      <c r="AK19" s="78">
        <f t="shared" si="13"/>
        <v>0</v>
      </c>
    </row>
    <row r="20" spans="1:37" ht="26.4" customHeight="1" thickBot="1" x14ac:dyDescent="0.3">
      <c r="A20" s="89" t="s">
        <v>30</v>
      </c>
      <c r="B20" s="129"/>
      <c r="C20" s="135">
        <f>SUM(C11:C19)</f>
        <v>4415</v>
      </c>
      <c r="D20" s="136">
        <f>SUM(D11:D19)</f>
        <v>0</v>
      </c>
      <c r="E20" s="137">
        <f t="shared" si="1"/>
        <v>0</v>
      </c>
      <c r="F20" s="136">
        <f>SUM(F11:F19)</f>
        <v>0</v>
      </c>
      <c r="G20" s="137">
        <f t="shared" si="2"/>
        <v>0</v>
      </c>
      <c r="H20" s="137"/>
      <c r="I20" s="138"/>
      <c r="J20" s="140">
        <f>SUM(J11:J19)</f>
        <v>4433</v>
      </c>
      <c r="K20" s="136">
        <f>SUM(K11:K19)</f>
        <v>0</v>
      </c>
      <c r="L20" s="137">
        <f t="shared" si="3"/>
        <v>0</v>
      </c>
      <c r="M20" s="136">
        <f>SUM(M11:M19)</f>
        <v>0</v>
      </c>
      <c r="N20" s="137">
        <f t="shared" si="4"/>
        <v>0</v>
      </c>
      <c r="O20" s="137"/>
      <c r="P20" s="138"/>
      <c r="Q20" s="140">
        <f>SUM(Q11:Q19)</f>
        <v>4433</v>
      </c>
      <c r="R20" s="136">
        <f>SUM(R11:R19)</f>
        <v>18</v>
      </c>
      <c r="S20" s="137">
        <f t="shared" si="5"/>
        <v>0.40604556733588992</v>
      </c>
      <c r="T20" s="136">
        <f>SUM(T11:T19)</f>
        <v>0</v>
      </c>
      <c r="U20" s="137">
        <f t="shared" si="6"/>
        <v>0</v>
      </c>
      <c r="V20" s="142">
        <f>SUM(V11:V19)</f>
        <v>0</v>
      </c>
      <c r="W20" s="78">
        <f t="shared" si="11"/>
        <v>0</v>
      </c>
      <c r="X20" s="140">
        <f>SUM(X11:X19)</f>
        <v>0</v>
      </c>
      <c r="Y20" s="136">
        <f>SUM(Y11:Y19)</f>
        <v>0</v>
      </c>
      <c r="Z20" s="137" t="e">
        <f t="shared" si="7"/>
        <v>#DIV/0!</v>
      </c>
      <c r="AA20" s="136">
        <f>SUM(AA11:AA19)</f>
        <v>0</v>
      </c>
      <c r="AB20" s="137" t="e">
        <f t="shared" si="8"/>
        <v>#DIV/0!</v>
      </c>
      <c r="AC20" s="142">
        <f>SUM(AC11:AC19)</f>
        <v>0</v>
      </c>
      <c r="AD20" s="78" t="e">
        <f t="shared" si="12"/>
        <v>#DIV/0!</v>
      </c>
      <c r="AE20" s="140">
        <f>SUM(AE11:AE19)</f>
        <v>1384</v>
      </c>
      <c r="AF20" s="136">
        <f>SUM(AF11:AF19)</f>
        <v>33</v>
      </c>
      <c r="AG20" s="137">
        <f t="shared" si="9"/>
        <v>2.3843930635838149</v>
      </c>
      <c r="AH20" s="136">
        <f>SUM(AH11:AH19)</f>
        <v>12</v>
      </c>
      <c r="AI20" s="137">
        <f t="shared" si="10"/>
        <v>0.86705202312138729</v>
      </c>
      <c r="AJ20" s="142">
        <f>SUM(AJ11:AJ19)</f>
        <v>0</v>
      </c>
      <c r="AK20" s="78">
        <f t="shared" si="13"/>
        <v>0</v>
      </c>
    </row>
    <row r="21" spans="1:37" s="97" customFormat="1" x14ac:dyDescent="0.25">
      <c r="B21" s="98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</row>
    <row r="22" spans="1:37" s="97" customFormat="1" x14ac:dyDescent="0.25">
      <c r="B22" s="98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AE22" s="152" t="s">
        <v>78</v>
      </c>
    </row>
    <row r="23" spans="1:37" s="97" customFormat="1" x14ac:dyDescent="0.25">
      <c r="B23" s="98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</row>
    <row r="24" spans="1:37" s="97" customFormat="1" x14ac:dyDescent="0.25">
      <c r="B24" s="98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</row>
    <row r="25" spans="1:37" s="97" customFormat="1" x14ac:dyDescent="0.25">
      <c r="B25" s="98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</row>
    <row r="26" spans="1:37" s="97" customFormat="1" x14ac:dyDescent="0.25">
      <c r="B26" s="98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</row>
    <row r="27" spans="1:37" s="97" customFormat="1" x14ac:dyDescent="0.25">
      <c r="B27" s="98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</row>
    <row r="28" spans="1:37" s="97" customFormat="1" x14ac:dyDescent="0.25">
      <c r="B28" s="98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</row>
    <row r="29" spans="1:37" s="97" customFormat="1" x14ac:dyDescent="0.25">
      <c r="B29" s="98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</row>
    <row r="30" spans="1:37" s="97" customFormat="1" x14ac:dyDescent="0.25">
      <c r="B30" s="98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</row>
    <row r="31" spans="1:37" s="97" customFormat="1" x14ac:dyDescent="0.25">
      <c r="B31" s="98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</row>
    <row r="32" spans="1:37" s="97" customFormat="1" x14ac:dyDescent="0.25">
      <c r="B32" s="98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</row>
    <row r="33" spans="2:23" s="97" customFormat="1" x14ac:dyDescent="0.25">
      <c r="B33" s="98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</row>
    <row r="34" spans="2:23" s="97" customFormat="1" x14ac:dyDescent="0.25">
      <c r="B34" s="98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</row>
    <row r="35" spans="2:23" s="97" customFormat="1" x14ac:dyDescent="0.25">
      <c r="B35" s="98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</row>
    <row r="36" spans="2:23" s="97" customFormat="1" x14ac:dyDescent="0.25">
      <c r="B36" s="98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</row>
    <row r="37" spans="2:23" s="97" customFormat="1" x14ac:dyDescent="0.25">
      <c r="B37" s="98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</row>
    <row r="38" spans="2:23" s="97" customFormat="1" x14ac:dyDescent="0.25">
      <c r="B38" s="98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</row>
    <row r="39" spans="2:23" s="97" customFormat="1" x14ac:dyDescent="0.25">
      <c r="B39" s="98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</row>
    <row r="40" spans="2:23" s="97" customFormat="1" x14ac:dyDescent="0.25">
      <c r="B40" s="98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</row>
    <row r="41" spans="2:23" s="97" customFormat="1" x14ac:dyDescent="0.25">
      <c r="B41" s="98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</row>
    <row r="42" spans="2:23" s="97" customFormat="1" x14ac:dyDescent="0.25">
      <c r="B42" s="98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</row>
    <row r="43" spans="2:23" s="97" customFormat="1" x14ac:dyDescent="0.25">
      <c r="B43" s="98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</row>
    <row r="44" spans="2:23" s="97" customFormat="1" x14ac:dyDescent="0.25">
      <c r="B44" s="98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</row>
    <row r="45" spans="2:23" s="97" customFormat="1" x14ac:dyDescent="0.25">
      <c r="B45" s="98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</row>
    <row r="46" spans="2:23" s="97" customFormat="1" x14ac:dyDescent="0.25">
      <c r="B46" s="98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</row>
    <row r="47" spans="2:23" s="97" customFormat="1" x14ac:dyDescent="0.25">
      <c r="B47" s="98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</row>
    <row r="48" spans="2:23" s="97" customFormat="1" x14ac:dyDescent="0.25">
      <c r="B48" s="98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</row>
    <row r="49" spans="2:23" s="97" customFormat="1" x14ac:dyDescent="0.25">
      <c r="B49" s="98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</row>
    <row r="50" spans="2:23" s="97" customFormat="1" x14ac:dyDescent="0.25">
      <c r="B50" s="98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</row>
    <row r="51" spans="2:23" s="97" customFormat="1" x14ac:dyDescent="0.25">
      <c r="B51" s="98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</row>
    <row r="52" spans="2:23" s="97" customFormat="1" x14ac:dyDescent="0.25">
      <c r="B52" s="98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</row>
    <row r="53" spans="2:23" s="97" customFormat="1" x14ac:dyDescent="0.25">
      <c r="B53" s="98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</row>
    <row r="54" spans="2:23" s="97" customFormat="1" x14ac:dyDescent="0.25">
      <c r="B54" s="98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</row>
    <row r="55" spans="2:23" s="97" customFormat="1" x14ac:dyDescent="0.25">
      <c r="B55" s="98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</row>
    <row r="56" spans="2:23" s="97" customFormat="1" x14ac:dyDescent="0.25">
      <c r="B56" s="98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</row>
    <row r="57" spans="2:23" s="97" customFormat="1" x14ac:dyDescent="0.25">
      <c r="B57" s="98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</row>
    <row r="58" spans="2:23" s="97" customFormat="1" x14ac:dyDescent="0.25">
      <c r="B58" s="98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</row>
    <row r="59" spans="2:23" s="97" customFormat="1" x14ac:dyDescent="0.25">
      <c r="B59" s="98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</row>
    <row r="60" spans="2:23" s="97" customFormat="1" x14ac:dyDescent="0.25">
      <c r="B60" s="98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</row>
    <row r="61" spans="2:23" s="97" customFormat="1" x14ac:dyDescent="0.25">
      <c r="B61" s="98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</row>
    <row r="62" spans="2:23" s="97" customFormat="1" x14ac:dyDescent="0.25">
      <c r="B62" s="98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</row>
    <row r="63" spans="2:23" s="97" customFormat="1" x14ac:dyDescent="0.25">
      <c r="B63" s="98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</row>
    <row r="64" spans="2:23" s="97" customFormat="1" x14ac:dyDescent="0.25">
      <c r="B64" s="98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</row>
    <row r="65" spans="2:23" s="97" customFormat="1" x14ac:dyDescent="0.25">
      <c r="B65" s="98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</row>
    <row r="66" spans="2:23" s="97" customFormat="1" x14ac:dyDescent="0.25">
      <c r="B66" s="98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</row>
    <row r="67" spans="2:23" s="97" customFormat="1" x14ac:dyDescent="0.25">
      <c r="B67" s="98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</row>
    <row r="68" spans="2:23" s="97" customFormat="1" x14ac:dyDescent="0.25">
      <c r="B68" s="98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</row>
    <row r="69" spans="2:23" s="97" customFormat="1" x14ac:dyDescent="0.25">
      <c r="B69" s="98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</row>
    <row r="70" spans="2:23" s="97" customFormat="1" x14ac:dyDescent="0.25">
      <c r="B70" s="98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</row>
    <row r="71" spans="2:23" s="97" customFormat="1" x14ac:dyDescent="0.25">
      <c r="B71" s="98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</row>
    <row r="72" spans="2:23" s="97" customFormat="1" x14ac:dyDescent="0.25">
      <c r="B72" s="98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</row>
    <row r="73" spans="2:23" s="97" customFormat="1" x14ac:dyDescent="0.25">
      <c r="B73" s="98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</row>
    <row r="74" spans="2:23" s="97" customFormat="1" x14ac:dyDescent="0.25">
      <c r="B74" s="98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</row>
    <row r="75" spans="2:23" s="97" customFormat="1" x14ac:dyDescent="0.25">
      <c r="B75" s="98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</row>
    <row r="76" spans="2:23" s="97" customFormat="1" x14ac:dyDescent="0.25">
      <c r="B76" s="98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</row>
    <row r="77" spans="2:23" s="97" customFormat="1" x14ac:dyDescent="0.25">
      <c r="B77" s="98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</row>
    <row r="78" spans="2:23" s="97" customFormat="1" x14ac:dyDescent="0.25">
      <c r="B78" s="98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</row>
    <row r="79" spans="2:23" s="97" customFormat="1" x14ac:dyDescent="0.25">
      <c r="B79" s="98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</row>
    <row r="80" spans="2:23" s="97" customFormat="1" x14ac:dyDescent="0.25">
      <c r="B80" s="98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</row>
    <row r="81" spans="2:23" s="97" customFormat="1" x14ac:dyDescent="0.25">
      <c r="B81" s="98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</row>
    <row r="82" spans="2:23" s="97" customFormat="1" x14ac:dyDescent="0.25">
      <c r="B82" s="98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</row>
    <row r="83" spans="2:23" s="97" customFormat="1" x14ac:dyDescent="0.25">
      <c r="B83" s="98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</row>
    <row r="84" spans="2:23" s="97" customFormat="1" x14ac:dyDescent="0.25">
      <c r="B84" s="98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</row>
    <row r="85" spans="2:23" s="97" customFormat="1" x14ac:dyDescent="0.25">
      <c r="B85" s="98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</row>
    <row r="86" spans="2:23" s="97" customFormat="1" x14ac:dyDescent="0.25">
      <c r="B86" s="98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</row>
    <row r="87" spans="2:23" s="97" customFormat="1" x14ac:dyDescent="0.25">
      <c r="B87" s="98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</row>
    <row r="88" spans="2:23" s="97" customFormat="1" x14ac:dyDescent="0.25">
      <c r="B88" s="98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</row>
    <row r="89" spans="2:23" s="97" customFormat="1" x14ac:dyDescent="0.25">
      <c r="B89" s="98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</row>
    <row r="90" spans="2:23" s="97" customFormat="1" x14ac:dyDescent="0.25">
      <c r="B90" s="98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</row>
    <row r="91" spans="2:23" s="97" customFormat="1" x14ac:dyDescent="0.25">
      <c r="B91" s="98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</row>
    <row r="92" spans="2:23" s="97" customFormat="1" x14ac:dyDescent="0.25">
      <c r="B92" s="98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</row>
    <row r="93" spans="2:23" s="97" customFormat="1" x14ac:dyDescent="0.25">
      <c r="B93" s="98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</row>
    <row r="94" spans="2:23" s="97" customFormat="1" x14ac:dyDescent="0.25">
      <c r="B94" s="98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</row>
    <row r="95" spans="2:23" s="97" customFormat="1" x14ac:dyDescent="0.25">
      <c r="B95" s="98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</row>
    <row r="96" spans="2:23" s="97" customFormat="1" x14ac:dyDescent="0.25">
      <c r="B96" s="98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</row>
    <row r="97" spans="2:23" s="97" customFormat="1" x14ac:dyDescent="0.25">
      <c r="B97" s="98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</row>
    <row r="98" spans="2:23" s="97" customFormat="1" x14ac:dyDescent="0.25">
      <c r="B98" s="98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</row>
    <row r="99" spans="2:23" s="97" customFormat="1" x14ac:dyDescent="0.25">
      <c r="B99" s="98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</row>
    <row r="100" spans="2:23" s="97" customFormat="1" x14ac:dyDescent="0.25">
      <c r="B100" s="98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</row>
    <row r="101" spans="2:23" s="97" customFormat="1" x14ac:dyDescent="0.25">
      <c r="B101" s="98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</row>
    <row r="102" spans="2:23" s="97" customFormat="1" x14ac:dyDescent="0.25">
      <c r="B102" s="98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</row>
    <row r="103" spans="2:23" s="97" customFormat="1" x14ac:dyDescent="0.25">
      <c r="B103" s="98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</row>
    <row r="104" spans="2:23" s="97" customFormat="1" x14ac:dyDescent="0.25">
      <c r="B104" s="98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</row>
    <row r="105" spans="2:23" s="97" customFormat="1" x14ac:dyDescent="0.25">
      <c r="B105" s="98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</row>
    <row r="106" spans="2:23" s="97" customFormat="1" x14ac:dyDescent="0.25">
      <c r="B106" s="98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</row>
    <row r="107" spans="2:23" s="97" customFormat="1" x14ac:dyDescent="0.25">
      <c r="B107" s="98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</row>
    <row r="108" spans="2:23" s="97" customFormat="1" x14ac:dyDescent="0.25">
      <c r="B108" s="98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</row>
    <row r="109" spans="2:23" s="97" customFormat="1" x14ac:dyDescent="0.25">
      <c r="B109" s="98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</row>
    <row r="110" spans="2:23" s="97" customFormat="1" x14ac:dyDescent="0.25">
      <c r="B110" s="98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</row>
    <row r="111" spans="2:23" s="97" customFormat="1" x14ac:dyDescent="0.25">
      <c r="B111" s="98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</row>
    <row r="112" spans="2:23" s="97" customFormat="1" x14ac:dyDescent="0.25">
      <c r="B112" s="98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</row>
    <row r="113" spans="2:23" s="97" customFormat="1" x14ac:dyDescent="0.25">
      <c r="B113" s="98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</row>
    <row r="114" spans="2:23" s="97" customFormat="1" x14ac:dyDescent="0.25">
      <c r="B114" s="98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</row>
    <row r="115" spans="2:23" s="97" customFormat="1" x14ac:dyDescent="0.25">
      <c r="B115" s="98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</row>
    <row r="116" spans="2:23" s="97" customFormat="1" x14ac:dyDescent="0.25">
      <c r="B116" s="98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</row>
    <row r="117" spans="2:23" s="97" customFormat="1" x14ac:dyDescent="0.25">
      <c r="B117" s="98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</row>
    <row r="118" spans="2:23" s="97" customFormat="1" x14ac:dyDescent="0.25">
      <c r="B118" s="98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</row>
    <row r="119" spans="2:23" s="97" customFormat="1" x14ac:dyDescent="0.25">
      <c r="B119" s="98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</row>
    <row r="120" spans="2:23" s="97" customFormat="1" x14ac:dyDescent="0.25">
      <c r="B120" s="98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</row>
    <row r="121" spans="2:23" s="97" customFormat="1" x14ac:dyDescent="0.25">
      <c r="B121" s="98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</row>
    <row r="122" spans="2:23" s="97" customFormat="1" x14ac:dyDescent="0.25">
      <c r="B122" s="98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</row>
    <row r="123" spans="2:23" s="97" customFormat="1" x14ac:dyDescent="0.25">
      <c r="B123" s="98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</row>
    <row r="124" spans="2:23" s="97" customFormat="1" x14ac:dyDescent="0.25">
      <c r="B124" s="98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</row>
    <row r="125" spans="2:23" s="97" customFormat="1" x14ac:dyDescent="0.25">
      <c r="B125" s="98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</row>
    <row r="126" spans="2:23" s="97" customFormat="1" x14ac:dyDescent="0.25">
      <c r="B126" s="98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</row>
    <row r="127" spans="2:23" s="97" customFormat="1" x14ac:dyDescent="0.25">
      <c r="B127" s="98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</row>
    <row r="128" spans="2:23" s="97" customFormat="1" x14ac:dyDescent="0.25">
      <c r="B128" s="98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</row>
    <row r="129" spans="2:23" s="97" customFormat="1" x14ac:dyDescent="0.25">
      <c r="B129" s="98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</row>
    <row r="130" spans="2:23" s="97" customFormat="1" x14ac:dyDescent="0.25">
      <c r="B130" s="98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</row>
    <row r="131" spans="2:23" s="97" customFormat="1" x14ac:dyDescent="0.25">
      <c r="B131" s="98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</row>
    <row r="132" spans="2:23" s="97" customFormat="1" x14ac:dyDescent="0.25">
      <c r="B132" s="98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</row>
    <row r="133" spans="2:23" s="97" customFormat="1" x14ac:dyDescent="0.25">
      <c r="B133" s="98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</row>
    <row r="134" spans="2:23" s="97" customFormat="1" x14ac:dyDescent="0.25">
      <c r="B134" s="98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</row>
    <row r="135" spans="2:23" s="97" customFormat="1" x14ac:dyDescent="0.25">
      <c r="B135" s="98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</row>
    <row r="136" spans="2:23" s="97" customFormat="1" x14ac:dyDescent="0.25">
      <c r="B136" s="98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</row>
    <row r="137" spans="2:23" s="97" customFormat="1" x14ac:dyDescent="0.25">
      <c r="B137" s="98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</row>
    <row r="138" spans="2:23" s="97" customFormat="1" x14ac:dyDescent="0.25">
      <c r="B138" s="98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</row>
    <row r="139" spans="2:23" s="97" customFormat="1" x14ac:dyDescent="0.25">
      <c r="B139" s="98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</row>
    <row r="140" spans="2:23" s="97" customFormat="1" x14ac:dyDescent="0.25">
      <c r="B140" s="98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</row>
    <row r="141" spans="2:23" s="97" customFormat="1" x14ac:dyDescent="0.25">
      <c r="B141" s="98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</row>
    <row r="142" spans="2:23" s="97" customFormat="1" x14ac:dyDescent="0.25">
      <c r="B142" s="98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</row>
    <row r="143" spans="2:23" s="97" customFormat="1" x14ac:dyDescent="0.25">
      <c r="B143" s="98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</row>
    <row r="144" spans="2:23" s="97" customFormat="1" x14ac:dyDescent="0.25">
      <c r="B144" s="98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</row>
    <row r="145" spans="2:23" s="97" customFormat="1" x14ac:dyDescent="0.25">
      <c r="B145" s="98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</row>
    <row r="146" spans="2:23" s="97" customFormat="1" x14ac:dyDescent="0.25">
      <c r="B146" s="98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</row>
    <row r="147" spans="2:23" s="97" customFormat="1" x14ac:dyDescent="0.25">
      <c r="B147" s="98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</row>
    <row r="148" spans="2:23" s="97" customFormat="1" x14ac:dyDescent="0.25">
      <c r="B148" s="98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</row>
    <row r="149" spans="2:23" s="97" customFormat="1" x14ac:dyDescent="0.25">
      <c r="B149" s="98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</row>
    <row r="150" spans="2:23" s="97" customFormat="1" x14ac:dyDescent="0.25">
      <c r="B150" s="98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</row>
    <row r="151" spans="2:23" s="97" customFormat="1" x14ac:dyDescent="0.25">
      <c r="B151" s="98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</row>
    <row r="152" spans="2:23" s="97" customFormat="1" x14ac:dyDescent="0.25">
      <c r="B152" s="98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</row>
    <row r="153" spans="2:23" s="97" customFormat="1" x14ac:dyDescent="0.25">
      <c r="B153" s="98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</row>
    <row r="154" spans="2:23" s="97" customFormat="1" x14ac:dyDescent="0.25">
      <c r="B154" s="98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</row>
    <row r="155" spans="2:23" s="97" customFormat="1" x14ac:dyDescent="0.25">
      <c r="B155" s="98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</row>
    <row r="156" spans="2:23" s="97" customFormat="1" x14ac:dyDescent="0.25">
      <c r="B156" s="98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</row>
    <row r="157" spans="2:23" s="97" customFormat="1" x14ac:dyDescent="0.25">
      <c r="B157" s="98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</row>
    <row r="158" spans="2:23" s="97" customFormat="1" x14ac:dyDescent="0.25">
      <c r="B158" s="98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</row>
    <row r="159" spans="2:23" s="97" customFormat="1" x14ac:dyDescent="0.25">
      <c r="B159" s="98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</row>
    <row r="160" spans="2:23" s="97" customFormat="1" x14ac:dyDescent="0.25">
      <c r="B160" s="98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</row>
    <row r="161" spans="2:23" s="97" customFormat="1" x14ac:dyDescent="0.25">
      <c r="B161" s="98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</row>
    <row r="162" spans="2:23" s="97" customFormat="1" x14ac:dyDescent="0.25">
      <c r="B162" s="98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</row>
    <row r="163" spans="2:23" s="97" customFormat="1" x14ac:dyDescent="0.25">
      <c r="B163" s="98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</row>
    <row r="164" spans="2:23" s="97" customFormat="1" x14ac:dyDescent="0.25">
      <c r="B164" s="98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</row>
    <row r="165" spans="2:23" s="97" customFormat="1" x14ac:dyDescent="0.25">
      <c r="B165" s="98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</row>
    <row r="166" spans="2:23" s="97" customFormat="1" x14ac:dyDescent="0.25">
      <c r="B166" s="98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</row>
    <row r="167" spans="2:23" s="97" customFormat="1" x14ac:dyDescent="0.25">
      <c r="B167" s="98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</row>
    <row r="168" spans="2:23" s="97" customFormat="1" x14ac:dyDescent="0.25">
      <c r="B168" s="98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</row>
    <row r="169" spans="2:23" s="97" customFormat="1" x14ac:dyDescent="0.25">
      <c r="B169" s="98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</row>
    <row r="170" spans="2:23" s="97" customFormat="1" x14ac:dyDescent="0.25">
      <c r="B170" s="98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</row>
    <row r="171" spans="2:23" s="97" customFormat="1" x14ac:dyDescent="0.25">
      <c r="B171" s="98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</row>
    <row r="172" spans="2:23" s="97" customFormat="1" x14ac:dyDescent="0.25">
      <c r="B172" s="98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</row>
    <row r="173" spans="2:23" s="97" customFormat="1" x14ac:dyDescent="0.25">
      <c r="B173" s="98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</row>
    <row r="174" spans="2:23" s="97" customFormat="1" x14ac:dyDescent="0.25">
      <c r="B174" s="98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</row>
    <row r="175" spans="2:23" s="97" customFormat="1" x14ac:dyDescent="0.25">
      <c r="B175" s="98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</row>
    <row r="176" spans="2:23" s="97" customFormat="1" x14ac:dyDescent="0.25">
      <c r="B176" s="98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</row>
    <row r="177" spans="2:23" s="97" customFormat="1" x14ac:dyDescent="0.25">
      <c r="B177" s="98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</row>
    <row r="178" spans="2:23" s="97" customFormat="1" x14ac:dyDescent="0.25">
      <c r="B178" s="98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</row>
    <row r="179" spans="2:23" s="97" customFormat="1" x14ac:dyDescent="0.25">
      <c r="B179" s="98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</row>
    <row r="180" spans="2:23" s="97" customFormat="1" x14ac:dyDescent="0.25">
      <c r="B180" s="98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</row>
    <row r="181" spans="2:23" s="97" customFormat="1" x14ac:dyDescent="0.25">
      <c r="B181" s="98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</row>
    <row r="182" spans="2:23" s="97" customFormat="1" x14ac:dyDescent="0.25">
      <c r="B182" s="98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</row>
    <row r="183" spans="2:23" s="97" customFormat="1" x14ac:dyDescent="0.25">
      <c r="B183" s="98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</row>
    <row r="184" spans="2:23" s="97" customFormat="1" x14ac:dyDescent="0.25">
      <c r="B184" s="98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</row>
    <row r="185" spans="2:23" s="97" customFormat="1" x14ac:dyDescent="0.25">
      <c r="B185" s="98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</row>
    <row r="186" spans="2:23" s="97" customFormat="1" x14ac:dyDescent="0.25">
      <c r="B186" s="98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</row>
    <row r="187" spans="2:23" s="97" customFormat="1" x14ac:dyDescent="0.25">
      <c r="B187" s="98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</row>
    <row r="188" spans="2:23" s="97" customFormat="1" x14ac:dyDescent="0.25">
      <c r="B188" s="98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</row>
    <row r="189" spans="2:23" s="97" customFormat="1" x14ac:dyDescent="0.25">
      <c r="B189" s="98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</row>
    <row r="190" spans="2:23" s="97" customFormat="1" x14ac:dyDescent="0.25">
      <c r="B190" s="98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</row>
    <row r="191" spans="2:23" s="97" customFormat="1" x14ac:dyDescent="0.25">
      <c r="B191" s="98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</row>
    <row r="192" spans="2:23" s="97" customFormat="1" x14ac:dyDescent="0.25">
      <c r="B192" s="98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</row>
    <row r="193" spans="2:23" s="97" customFormat="1" x14ac:dyDescent="0.25">
      <c r="B193" s="98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</row>
    <row r="194" spans="2:23" s="97" customFormat="1" x14ac:dyDescent="0.25">
      <c r="B194" s="98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</row>
    <row r="195" spans="2:23" s="97" customFormat="1" x14ac:dyDescent="0.25">
      <c r="B195" s="98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</row>
    <row r="196" spans="2:23" s="97" customFormat="1" x14ac:dyDescent="0.25">
      <c r="B196" s="98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</row>
    <row r="197" spans="2:23" s="97" customFormat="1" x14ac:dyDescent="0.25">
      <c r="B197" s="98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</row>
    <row r="198" spans="2:23" s="97" customFormat="1" x14ac:dyDescent="0.25">
      <c r="B198" s="98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</row>
    <row r="199" spans="2:23" s="97" customFormat="1" x14ac:dyDescent="0.25">
      <c r="B199" s="98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</row>
    <row r="200" spans="2:23" s="97" customFormat="1" x14ac:dyDescent="0.25">
      <c r="B200" s="98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</row>
    <row r="201" spans="2:23" s="97" customFormat="1" x14ac:dyDescent="0.25">
      <c r="B201" s="98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</row>
    <row r="202" spans="2:23" s="97" customFormat="1" x14ac:dyDescent="0.25">
      <c r="B202" s="98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</row>
    <row r="203" spans="2:23" s="97" customFormat="1" x14ac:dyDescent="0.25">
      <c r="B203" s="98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</row>
    <row r="204" spans="2:23" s="97" customFormat="1" x14ac:dyDescent="0.25">
      <c r="B204" s="98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</row>
    <row r="205" spans="2:23" s="97" customFormat="1" x14ac:dyDescent="0.25">
      <c r="B205" s="98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</row>
    <row r="206" spans="2:23" s="97" customFormat="1" x14ac:dyDescent="0.25">
      <c r="B206" s="98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</row>
    <row r="207" spans="2:23" s="97" customFormat="1" x14ac:dyDescent="0.25">
      <c r="B207" s="98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</row>
    <row r="208" spans="2:23" s="97" customFormat="1" x14ac:dyDescent="0.25">
      <c r="B208" s="98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</row>
    <row r="209" spans="2:23" s="97" customFormat="1" x14ac:dyDescent="0.25">
      <c r="B209" s="98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</row>
    <row r="210" spans="2:23" s="97" customFormat="1" x14ac:dyDescent="0.25">
      <c r="B210" s="98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</row>
    <row r="211" spans="2:23" s="97" customFormat="1" x14ac:dyDescent="0.25">
      <c r="B211" s="98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  <c r="W211" s="45"/>
    </row>
    <row r="212" spans="2:23" s="97" customFormat="1" x14ac:dyDescent="0.25">
      <c r="B212" s="98"/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45"/>
      <c r="W212" s="45"/>
    </row>
    <row r="213" spans="2:23" s="97" customFormat="1" x14ac:dyDescent="0.25">
      <c r="B213" s="98"/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45"/>
      <c r="W213" s="45"/>
    </row>
    <row r="214" spans="2:23" s="97" customFormat="1" x14ac:dyDescent="0.25">
      <c r="B214" s="98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45"/>
      <c r="W214" s="45"/>
    </row>
    <row r="215" spans="2:23" s="97" customFormat="1" x14ac:dyDescent="0.25">
      <c r="B215" s="98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45"/>
      <c r="W215" s="45"/>
    </row>
    <row r="216" spans="2:23" s="97" customFormat="1" x14ac:dyDescent="0.25">
      <c r="B216" s="98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</row>
    <row r="217" spans="2:23" s="97" customFormat="1" x14ac:dyDescent="0.25">
      <c r="B217" s="98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5"/>
      <c r="W217" s="45"/>
    </row>
    <row r="218" spans="2:23" s="97" customFormat="1" x14ac:dyDescent="0.25">
      <c r="B218" s="98"/>
      <c r="C218" s="45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45"/>
      <c r="W218" s="45"/>
    </row>
    <row r="219" spans="2:23" s="97" customFormat="1" x14ac:dyDescent="0.25">
      <c r="B219" s="98"/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45"/>
      <c r="W219" s="45"/>
    </row>
    <row r="220" spans="2:23" s="97" customFormat="1" x14ac:dyDescent="0.25">
      <c r="B220" s="98"/>
      <c r="C220" s="45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  <c r="O220" s="45"/>
      <c r="P220" s="45"/>
      <c r="Q220" s="45"/>
      <c r="R220" s="45"/>
      <c r="S220" s="45"/>
      <c r="T220" s="45"/>
      <c r="U220" s="45"/>
      <c r="V220" s="45"/>
      <c r="W220" s="45"/>
    </row>
    <row r="221" spans="2:23" s="97" customFormat="1" x14ac:dyDescent="0.25">
      <c r="B221" s="98"/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45"/>
      <c r="W221" s="45"/>
    </row>
    <row r="222" spans="2:23" s="97" customFormat="1" x14ac:dyDescent="0.25">
      <c r="B222" s="98"/>
      <c r="C222" s="45"/>
      <c r="D222" s="45"/>
      <c r="E222" s="45"/>
      <c r="F222" s="45"/>
      <c r="G222" s="45"/>
      <c r="H222" s="45"/>
      <c r="I222" s="45"/>
      <c r="J222" s="45"/>
      <c r="K222" s="45"/>
      <c r="L222" s="45"/>
      <c r="M222" s="45"/>
      <c r="N222" s="45"/>
      <c r="O222" s="45"/>
      <c r="P222" s="45"/>
      <c r="Q222" s="45"/>
      <c r="R222" s="45"/>
      <c r="S222" s="45"/>
      <c r="T222" s="45"/>
      <c r="U222" s="45"/>
      <c r="V222" s="45"/>
      <c r="W222" s="45"/>
    </row>
    <row r="223" spans="2:23" s="97" customFormat="1" x14ac:dyDescent="0.25">
      <c r="B223" s="98"/>
      <c r="C223" s="45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  <c r="O223" s="45"/>
      <c r="P223" s="45"/>
      <c r="Q223" s="45"/>
      <c r="R223" s="45"/>
      <c r="S223" s="45"/>
      <c r="T223" s="45"/>
      <c r="U223" s="45"/>
      <c r="V223" s="45"/>
      <c r="W223" s="45"/>
    </row>
    <row r="224" spans="2:23" s="97" customFormat="1" x14ac:dyDescent="0.25">
      <c r="B224" s="98"/>
      <c r="C224" s="45"/>
      <c r="D224" s="45"/>
      <c r="E224" s="45"/>
      <c r="F224" s="45"/>
      <c r="G224" s="45"/>
      <c r="H224" s="45"/>
      <c r="I224" s="45"/>
      <c r="J224" s="45"/>
      <c r="K224" s="45"/>
      <c r="L224" s="45"/>
      <c r="M224" s="45"/>
      <c r="N224" s="45"/>
      <c r="O224" s="45"/>
      <c r="P224" s="45"/>
      <c r="Q224" s="45"/>
      <c r="R224" s="45"/>
      <c r="S224" s="45"/>
      <c r="T224" s="45"/>
      <c r="U224" s="45"/>
      <c r="V224" s="45"/>
      <c r="W224" s="45"/>
    </row>
    <row r="225" spans="2:23" s="97" customFormat="1" x14ac:dyDescent="0.25">
      <c r="B225" s="98"/>
      <c r="C225" s="45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N225" s="45"/>
      <c r="O225" s="45"/>
      <c r="P225" s="45"/>
      <c r="Q225" s="45"/>
      <c r="R225" s="45"/>
      <c r="S225" s="45"/>
      <c r="T225" s="45"/>
      <c r="U225" s="45"/>
      <c r="V225" s="45"/>
      <c r="W225" s="45"/>
    </row>
    <row r="226" spans="2:23" s="97" customFormat="1" x14ac:dyDescent="0.25">
      <c r="B226" s="98"/>
      <c r="C226" s="45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45"/>
      <c r="S226" s="45"/>
      <c r="T226" s="45"/>
      <c r="U226" s="45"/>
      <c r="V226" s="45"/>
      <c r="W226" s="45"/>
    </row>
    <row r="227" spans="2:23" s="97" customFormat="1" x14ac:dyDescent="0.25">
      <c r="B227" s="98"/>
      <c r="C227" s="45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45"/>
      <c r="R227" s="45"/>
      <c r="S227" s="45"/>
      <c r="T227" s="45"/>
      <c r="U227" s="45"/>
      <c r="V227" s="45"/>
      <c r="W227" s="45"/>
    </row>
    <row r="228" spans="2:23" s="97" customFormat="1" x14ac:dyDescent="0.25">
      <c r="B228" s="98"/>
      <c r="C228" s="45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  <c r="O228" s="45"/>
      <c r="P228" s="45"/>
      <c r="Q228" s="45"/>
      <c r="R228" s="45"/>
      <c r="S228" s="45"/>
      <c r="T228" s="45"/>
      <c r="U228" s="45"/>
      <c r="V228" s="45"/>
      <c r="W228" s="45"/>
    </row>
    <row r="229" spans="2:23" s="97" customFormat="1" x14ac:dyDescent="0.25">
      <c r="B229" s="98"/>
      <c r="C229" s="45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N229" s="45"/>
      <c r="O229" s="45"/>
      <c r="P229" s="45"/>
      <c r="Q229" s="45"/>
      <c r="R229" s="45"/>
      <c r="S229" s="45"/>
      <c r="T229" s="45"/>
      <c r="U229" s="45"/>
      <c r="V229" s="45"/>
      <c r="W229" s="45"/>
    </row>
    <row r="230" spans="2:23" s="97" customFormat="1" x14ac:dyDescent="0.25">
      <c r="B230" s="98"/>
      <c r="C230" s="45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45"/>
      <c r="O230" s="45"/>
      <c r="P230" s="45"/>
      <c r="Q230" s="45"/>
      <c r="R230" s="45"/>
      <c r="S230" s="45"/>
      <c r="T230" s="45"/>
      <c r="U230" s="45"/>
      <c r="V230" s="45"/>
      <c r="W230" s="45"/>
    </row>
    <row r="231" spans="2:23" s="97" customFormat="1" x14ac:dyDescent="0.25">
      <c r="B231" s="98"/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45"/>
      <c r="R231" s="45"/>
      <c r="S231" s="45"/>
      <c r="T231" s="45"/>
      <c r="U231" s="45"/>
      <c r="V231" s="45"/>
      <c r="W231" s="45"/>
    </row>
    <row r="232" spans="2:23" s="97" customFormat="1" x14ac:dyDescent="0.25">
      <c r="B232" s="98"/>
      <c r="C232" s="45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  <c r="O232" s="45"/>
      <c r="P232" s="45"/>
      <c r="Q232" s="45"/>
      <c r="R232" s="45"/>
      <c r="S232" s="45"/>
      <c r="T232" s="45"/>
      <c r="U232" s="45"/>
      <c r="V232" s="45"/>
      <c r="W232" s="45"/>
    </row>
    <row r="233" spans="2:23" s="97" customFormat="1" x14ac:dyDescent="0.25">
      <c r="B233" s="98"/>
      <c r="C233" s="45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N233" s="45"/>
      <c r="O233" s="45"/>
      <c r="P233" s="45"/>
      <c r="Q233" s="45"/>
      <c r="R233" s="45"/>
      <c r="S233" s="45"/>
      <c r="T233" s="45"/>
      <c r="U233" s="45"/>
      <c r="V233" s="45"/>
      <c r="W233" s="45"/>
    </row>
    <row r="234" spans="2:23" s="97" customFormat="1" x14ac:dyDescent="0.25">
      <c r="B234" s="98"/>
      <c r="C234" s="45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45"/>
      <c r="O234" s="45"/>
      <c r="P234" s="45"/>
      <c r="Q234" s="45"/>
      <c r="R234" s="45"/>
      <c r="S234" s="45"/>
      <c r="T234" s="45"/>
      <c r="U234" s="45"/>
      <c r="V234" s="45"/>
      <c r="W234" s="45"/>
    </row>
    <row r="235" spans="2:23" s="97" customFormat="1" x14ac:dyDescent="0.25">
      <c r="B235" s="98"/>
      <c r="C235" s="45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N235" s="45"/>
      <c r="O235" s="45"/>
      <c r="P235" s="45"/>
      <c r="Q235" s="45"/>
      <c r="R235" s="45"/>
      <c r="S235" s="45"/>
      <c r="T235" s="45"/>
      <c r="U235" s="45"/>
      <c r="V235" s="45"/>
      <c r="W235" s="45"/>
    </row>
    <row r="236" spans="2:23" s="97" customFormat="1" x14ac:dyDescent="0.25">
      <c r="B236" s="98"/>
      <c r="C236" s="45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45"/>
      <c r="O236" s="45"/>
      <c r="P236" s="45"/>
      <c r="Q236" s="45"/>
      <c r="R236" s="45"/>
      <c r="S236" s="45"/>
      <c r="T236" s="45"/>
      <c r="U236" s="45"/>
      <c r="V236" s="45"/>
      <c r="W236" s="45"/>
    </row>
    <row r="237" spans="2:23" s="97" customFormat="1" x14ac:dyDescent="0.25">
      <c r="B237" s="98"/>
      <c r="C237" s="45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45"/>
      <c r="R237" s="45"/>
      <c r="S237" s="45"/>
      <c r="T237" s="45"/>
      <c r="U237" s="45"/>
      <c r="V237" s="45"/>
      <c r="W237" s="45"/>
    </row>
    <row r="238" spans="2:23" s="97" customFormat="1" x14ac:dyDescent="0.25">
      <c r="B238" s="98"/>
      <c r="C238" s="45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45"/>
      <c r="R238" s="45"/>
      <c r="S238" s="45"/>
      <c r="T238" s="45"/>
      <c r="U238" s="45"/>
      <c r="V238" s="45"/>
      <c r="W238" s="45"/>
    </row>
    <row r="239" spans="2:23" s="97" customFormat="1" x14ac:dyDescent="0.25">
      <c r="B239" s="98"/>
      <c r="C239" s="45"/>
      <c r="D239" s="45"/>
      <c r="E239" s="45"/>
      <c r="F239" s="45"/>
      <c r="G239" s="45"/>
      <c r="H239" s="45"/>
      <c r="I239" s="45"/>
      <c r="J239" s="45"/>
      <c r="K239" s="45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45"/>
      <c r="W239" s="45"/>
    </row>
    <row r="240" spans="2:23" s="97" customFormat="1" x14ac:dyDescent="0.25">
      <c r="B240" s="98"/>
      <c r="C240" s="45"/>
      <c r="D240" s="45"/>
      <c r="E240" s="45"/>
      <c r="F240" s="45"/>
      <c r="G240" s="45"/>
      <c r="H240" s="45"/>
      <c r="I240" s="45"/>
      <c r="J240" s="45"/>
      <c r="K240" s="45"/>
      <c r="L240" s="45"/>
      <c r="M240" s="45"/>
      <c r="N240" s="45"/>
      <c r="O240" s="45"/>
      <c r="P240" s="45"/>
      <c r="Q240" s="45"/>
      <c r="R240" s="45"/>
      <c r="S240" s="45"/>
      <c r="T240" s="45"/>
      <c r="U240" s="45"/>
      <c r="V240" s="45"/>
      <c r="W240" s="45"/>
    </row>
    <row r="241" spans="2:2" x14ac:dyDescent="0.25">
      <c r="B241" s="98"/>
    </row>
    <row r="242" spans="2:2" x14ac:dyDescent="0.25">
      <c r="B242" s="98"/>
    </row>
    <row r="243" spans="2:2" x14ac:dyDescent="0.25">
      <c r="B243" s="98"/>
    </row>
    <row r="244" spans="2:2" x14ac:dyDescent="0.25">
      <c r="B244" s="98"/>
    </row>
    <row r="245" spans="2:2" x14ac:dyDescent="0.25">
      <c r="B245" s="98"/>
    </row>
    <row r="246" spans="2:2" x14ac:dyDescent="0.25">
      <c r="B246" s="98"/>
    </row>
    <row r="247" spans="2:2" x14ac:dyDescent="0.25">
      <c r="B247" s="98"/>
    </row>
    <row r="248" spans="2:2" x14ac:dyDescent="0.25">
      <c r="B248" s="98"/>
    </row>
  </sheetData>
  <mergeCells count="20">
    <mergeCell ref="C7:I7"/>
    <mergeCell ref="D8:E8"/>
    <mergeCell ref="H8:I8"/>
    <mergeCell ref="X7:AD7"/>
    <mergeCell ref="Y8:Z8"/>
    <mergeCell ref="AA8:AB8"/>
    <mergeCell ref="AC8:AD8"/>
    <mergeCell ref="F8:G8"/>
    <mergeCell ref="K8:L8"/>
    <mergeCell ref="M8:N8"/>
    <mergeCell ref="R8:S8"/>
    <mergeCell ref="J7:P7"/>
    <mergeCell ref="O8:P8"/>
    <mergeCell ref="Q7:W7"/>
    <mergeCell ref="V8:W8"/>
    <mergeCell ref="T8:U8"/>
    <mergeCell ref="AE7:AK7"/>
    <mergeCell ref="AF8:AG8"/>
    <mergeCell ref="AH8:AI8"/>
    <mergeCell ref="AJ8:AK8"/>
  </mergeCells>
  <phoneticPr fontId="1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Grundtabelle</vt:lpstr>
      <vt:lpstr>Entw m_w</vt:lpstr>
      <vt:lpstr>Entw Ausl</vt:lpstr>
      <vt:lpstr>Herkunft 05_06</vt:lpstr>
      <vt:lpstr>GU_integrative LG</vt:lpstr>
      <vt:lpstr>Grundtabelle!Druckbereich</vt:lpstr>
      <vt:lpstr>Grundtabelle!Drucktitel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Schulamt</dc:creator>
  <cp:lastModifiedBy>Thomas Werner</cp:lastModifiedBy>
  <cp:lastPrinted>2021-11-22T07:57:42Z</cp:lastPrinted>
  <dcterms:created xsi:type="dcterms:W3CDTF">2007-08-17T06:33:11Z</dcterms:created>
  <dcterms:modified xsi:type="dcterms:W3CDTF">2022-09-19T12:33:46Z</dcterms:modified>
</cp:coreProperties>
</file>