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s.stadt-muenster.de\ds\0000\D18\18_01\3_DIGITALISIERUNG\Open-Data\Fachämter-Datensätze\40-Schule-und-Weiterbildung\Schulstatistik\veröffentlicht\"/>
    </mc:Choice>
  </mc:AlternateContent>
  <bookViews>
    <workbookView xWindow="12072" yWindow="468" windowWidth="14208" windowHeight="12468" activeTab="1"/>
  </bookViews>
  <sheets>
    <sheet name="Sek_1" sheetId="1" r:id="rId1"/>
    <sheet name="Sek_2" sheetId="2" r:id="rId2"/>
    <sheet name="Tabelle1" sheetId="3" state="hidden" r:id="rId3"/>
    <sheet name="Tabelle2" sheetId="4" state="hidden" r:id="rId4"/>
  </sheets>
  <definedNames>
    <definedName name="_xlnm._FilterDatabase" localSheetId="0" hidden="1">Sek_1!$A$4:$Z$6</definedName>
    <definedName name="_xlnm._FilterDatabase" localSheetId="1" hidden="1">Sek_2!$A$5:$C$7</definedName>
    <definedName name="_xlnm.Print_Area" localSheetId="1">Sek_2!$31:$36</definedName>
    <definedName name="_xlnm.Print_Titles" localSheetId="0">Sek_1!$1:$6</definedName>
    <definedName name="_xlnm.Print_Titles" localSheetId="1">Sek_2!$1:$7</definedName>
  </definedNames>
  <calcPr calcId="162913"/>
</workbook>
</file>

<file path=xl/calcChain.xml><?xml version="1.0" encoding="utf-8"?>
<calcChain xmlns="http://schemas.openxmlformats.org/spreadsheetml/2006/main">
  <c r="V82" i="2" l="1"/>
  <c r="U82" i="2"/>
  <c r="F85" i="2" l="1"/>
  <c r="E85" i="2"/>
  <c r="D85" i="2"/>
  <c r="V83" i="2" l="1"/>
  <c r="V81" i="2"/>
  <c r="U83" i="2"/>
  <c r="U81" i="2"/>
  <c r="T85" i="2" l="1"/>
  <c r="S85" i="2"/>
  <c r="R84" i="2"/>
  <c r="R86" i="2" s="1"/>
  <c r="Q84" i="2"/>
  <c r="Q86" i="2" s="1"/>
  <c r="L84" i="2"/>
  <c r="L86" i="2" s="1"/>
  <c r="K84" i="2"/>
  <c r="K86" i="2" s="1"/>
  <c r="J84" i="2"/>
  <c r="J86" i="2" s="1"/>
  <c r="I84" i="2"/>
  <c r="I86" i="2" s="1"/>
  <c r="H84" i="2"/>
  <c r="H86" i="2" s="1"/>
  <c r="G84" i="2"/>
  <c r="G86" i="2" s="1"/>
  <c r="P83" i="2"/>
  <c r="O83" i="2"/>
  <c r="P82" i="2"/>
  <c r="O82" i="2"/>
  <c r="V84" i="2"/>
  <c r="V86" i="2" s="1"/>
  <c r="P81" i="2"/>
  <c r="O81" i="2"/>
  <c r="Y77" i="1"/>
  <c r="Y79" i="1" s="1"/>
  <c r="X77" i="1"/>
  <c r="X79" i="1" s="1"/>
  <c r="U77" i="1"/>
  <c r="U79" i="1" s="1"/>
  <c r="T77" i="1"/>
  <c r="T79" i="1" s="1"/>
  <c r="S77" i="1"/>
  <c r="S79" i="1" s="1"/>
  <c r="R77" i="1"/>
  <c r="R79" i="1" s="1"/>
  <c r="Q77" i="1"/>
  <c r="Q79" i="1" s="1"/>
  <c r="P77" i="1"/>
  <c r="P79" i="1" s="1"/>
  <c r="O77" i="1"/>
  <c r="O79" i="1" s="1"/>
  <c r="N77" i="1"/>
  <c r="N79" i="1" s="1"/>
  <c r="M77" i="1"/>
  <c r="M79" i="1" s="1"/>
  <c r="L77" i="1"/>
  <c r="L79" i="1" s="1"/>
  <c r="K77" i="1"/>
  <c r="K79" i="1" s="1"/>
  <c r="J77" i="1"/>
  <c r="J79" i="1" s="1"/>
  <c r="I77" i="1"/>
  <c r="I79" i="1" s="1"/>
  <c r="H77" i="1"/>
  <c r="H79" i="1" s="1"/>
  <c r="G77" i="1"/>
  <c r="F77" i="1"/>
  <c r="F79" i="1" s="1"/>
  <c r="E77" i="1"/>
  <c r="D77" i="1"/>
  <c r="D79" i="1" s="1"/>
  <c r="Z76" i="1"/>
  <c r="F83" i="2" s="1"/>
  <c r="W76" i="1"/>
  <c r="E83" i="2" s="1"/>
  <c r="V76" i="1"/>
  <c r="D83" i="2" s="1"/>
  <c r="Z75" i="1"/>
  <c r="F82" i="2" s="1"/>
  <c r="W75" i="1"/>
  <c r="E82" i="2" s="1"/>
  <c r="V75" i="1"/>
  <c r="D82" i="2" s="1"/>
  <c r="Z74" i="1"/>
  <c r="F81" i="2" s="1"/>
  <c r="W74" i="1"/>
  <c r="E81" i="2" s="1"/>
  <c r="V74" i="1"/>
  <c r="D81" i="2" s="1"/>
  <c r="S81" i="2" s="1"/>
  <c r="S83" i="2" l="1"/>
  <c r="T82" i="2"/>
  <c r="P84" i="2"/>
  <c r="P86" i="2" s="1"/>
  <c r="U84" i="2"/>
  <c r="U86" i="2" s="1"/>
  <c r="T83" i="2"/>
  <c r="S82" i="2"/>
  <c r="T81" i="2"/>
  <c r="O84" i="2"/>
  <c r="O86" i="2" s="1"/>
  <c r="W77" i="1"/>
  <c r="V77" i="1"/>
  <c r="Z77" i="1"/>
  <c r="E79" i="1"/>
  <c r="G79" i="1"/>
  <c r="E71" i="1"/>
  <c r="F71" i="1"/>
  <c r="G71" i="1"/>
  <c r="H71" i="1"/>
  <c r="I71" i="1"/>
  <c r="J71" i="1"/>
  <c r="K71" i="1"/>
  <c r="L71" i="1"/>
  <c r="M71" i="1"/>
  <c r="N71" i="1"/>
  <c r="O71" i="1"/>
  <c r="P71" i="1"/>
  <c r="Q71" i="1"/>
  <c r="R71" i="1"/>
  <c r="S71" i="1"/>
  <c r="T71" i="1"/>
  <c r="U71" i="1"/>
  <c r="D71" i="1"/>
  <c r="V76" i="2"/>
  <c r="U76" i="2"/>
  <c r="V74" i="2"/>
  <c r="U74" i="2"/>
  <c r="V75" i="2"/>
  <c r="U75" i="2"/>
  <c r="S84" i="2" l="1"/>
  <c r="S86" i="2" s="1"/>
  <c r="T84" i="2"/>
  <c r="T86" i="2" s="1"/>
  <c r="Z79" i="1"/>
  <c r="F86" i="2" s="1"/>
  <c r="F84" i="2"/>
  <c r="V79" i="1"/>
  <c r="D84" i="2"/>
  <c r="D86" i="2" s="1"/>
  <c r="W79" i="1"/>
  <c r="E84" i="2"/>
  <c r="E86" i="2" s="1"/>
  <c r="F78" i="2"/>
  <c r="R77" i="2"/>
  <c r="R79" i="2" s="1"/>
  <c r="Q77" i="2"/>
  <c r="Q79" i="2" s="1"/>
  <c r="L77" i="2"/>
  <c r="L79" i="2" s="1"/>
  <c r="K77" i="2"/>
  <c r="K79" i="2" s="1"/>
  <c r="J77" i="2"/>
  <c r="J79" i="2" s="1"/>
  <c r="I77" i="2"/>
  <c r="I79" i="2" s="1"/>
  <c r="H77" i="2"/>
  <c r="H79" i="2" s="1"/>
  <c r="G77" i="2"/>
  <c r="G79" i="2" s="1"/>
  <c r="P76" i="2"/>
  <c r="O76" i="2"/>
  <c r="P75" i="2"/>
  <c r="O75" i="2"/>
  <c r="V77" i="2"/>
  <c r="V79" i="2" s="1"/>
  <c r="U77" i="2"/>
  <c r="U79" i="2" s="1"/>
  <c r="P74" i="2"/>
  <c r="O74" i="2"/>
  <c r="W72" i="1"/>
  <c r="E78" i="2" s="1"/>
  <c r="T78" i="2" s="1"/>
  <c r="V72" i="1"/>
  <c r="D78" i="2" s="1"/>
  <c r="S78" i="2" s="1"/>
  <c r="U73" i="1"/>
  <c r="T73" i="1"/>
  <c r="S73" i="1"/>
  <c r="Y71" i="1"/>
  <c r="Y73" i="1" s="1"/>
  <c r="X71" i="1"/>
  <c r="R73" i="1"/>
  <c r="Q73" i="1"/>
  <c r="P73" i="1"/>
  <c r="O73" i="1"/>
  <c r="N73" i="1"/>
  <c r="M73" i="1"/>
  <c r="L73" i="1"/>
  <c r="K73" i="1"/>
  <c r="J73" i="1"/>
  <c r="I73" i="1"/>
  <c r="H73" i="1"/>
  <c r="F73" i="1"/>
  <c r="W71" i="1"/>
  <c r="D73" i="1"/>
  <c r="Z70" i="1"/>
  <c r="F76" i="2" s="1"/>
  <c r="W70" i="1"/>
  <c r="E76" i="2" s="1"/>
  <c r="V70" i="1"/>
  <c r="D76" i="2" s="1"/>
  <c r="Z69" i="1"/>
  <c r="F75" i="2" s="1"/>
  <c r="W69" i="1"/>
  <c r="E75" i="2" s="1"/>
  <c r="V69" i="1"/>
  <c r="D75" i="2" s="1"/>
  <c r="Z68" i="1"/>
  <c r="F74" i="2" s="1"/>
  <c r="W68" i="1"/>
  <c r="E74" i="2" s="1"/>
  <c r="V68" i="1"/>
  <c r="D74" i="2" s="1"/>
  <c r="T76" i="2" l="1"/>
  <c r="W73" i="1"/>
  <c r="E77" i="2"/>
  <c r="E79" i="2" s="1"/>
  <c r="S75" i="2"/>
  <c r="T74" i="2"/>
  <c r="S74" i="2"/>
  <c r="P77" i="2"/>
  <c r="P79" i="2" s="1"/>
  <c r="T75" i="2"/>
  <c r="S76" i="2"/>
  <c r="O77" i="2"/>
  <c r="O79" i="2" s="1"/>
  <c r="X73" i="1"/>
  <c r="V71" i="1"/>
  <c r="Z71" i="1"/>
  <c r="E73" i="1"/>
  <c r="G73" i="1"/>
  <c r="Y65" i="1"/>
  <c r="X65" i="1"/>
  <c r="Z73" i="1" l="1"/>
  <c r="F79" i="2" s="1"/>
  <c r="F77" i="2"/>
  <c r="V73" i="1"/>
  <c r="D77" i="2"/>
  <c r="D79" i="2" s="1"/>
  <c r="T77" i="2"/>
  <c r="T79" i="2" s="1"/>
  <c r="S77" i="2"/>
  <c r="S79" i="2" s="1"/>
  <c r="P69" i="2"/>
  <c r="P70" i="2"/>
  <c r="P68" i="2"/>
  <c r="O68" i="2"/>
  <c r="O69" i="2"/>
  <c r="O70" i="2"/>
  <c r="V72" i="2"/>
  <c r="U72" i="2"/>
  <c r="F72" i="2"/>
  <c r="E72" i="2"/>
  <c r="T72" i="2" s="1"/>
  <c r="D72" i="2"/>
  <c r="S72" i="2" s="1"/>
  <c r="L71" i="2"/>
  <c r="L73" i="2" s="1"/>
  <c r="K71" i="2"/>
  <c r="K73" i="2" s="1"/>
  <c r="J71" i="2"/>
  <c r="J73" i="2" s="1"/>
  <c r="I71" i="2"/>
  <c r="I73" i="2" s="1"/>
  <c r="H71" i="2"/>
  <c r="H73" i="2" s="1"/>
  <c r="G71" i="2"/>
  <c r="G73" i="2" s="1"/>
  <c r="R71" i="2"/>
  <c r="R73" i="2" s="1"/>
  <c r="U70" i="2"/>
  <c r="V69" i="2"/>
  <c r="U69" i="2"/>
  <c r="V68" i="2"/>
  <c r="U68" i="2"/>
  <c r="U67" i="1"/>
  <c r="T67" i="1"/>
  <c r="S67" i="1"/>
  <c r="R65" i="1"/>
  <c r="R67" i="1" s="1"/>
  <c r="Q65" i="1"/>
  <c r="Q67" i="1" s="1"/>
  <c r="P65" i="1"/>
  <c r="P67" i="1" s="1"/>
  <c r="O65" i="1"/>
  <c r="O67" i="1" s="1"/>
  <c r="N65" i="1"/>
  <c r="N67" i="1" s="1"/>
  <c r="M65" i="1"/>
  <c r="M67" i="1" s="1"/>
  <c r="L65" i="1"/>
  <c r="L67" i="1" s="1"/>
  <c r="K65" i="1"/>
  <c r="K67" i="1" s="1"/>
  <c r="J65" i="1"/>
  <c r="J67" i="1" s="1"/>
  <c r="I65" i="1"/>
  <c r="I67" i="1" s="1"/>
  <c r="H65" i="1"/>
  <c r="H67" i="1" s="1"/>
  <c r="G65" i="1"/>
  <c r="G67" i="1" s="1"/>
  <c r="F65" i="1"/>
  <c r="F67" i="1" s="1"/>
  <c r="E65" i="1"/>
  <c r="D65" i="1"/>
  <c r="D67" i="1" s="1"/>
  <c r="Z64" i="1"/>
  <c r="F70" i="2" s="1"/>
  <c r="W64" i="1"/>
  <c r="E70" i="2" s="1"/>
  <c r="V64" i="1"/>
  <c r="D70" i="2" s="1"/>
  <c r="S70" i="2" s="1"/>
  <c r="Z63" i="1"/>
  <c r="F69" i="2" s="1"/>
  <c r="W63" i="1"/>
  <c r="E69" i="2" s="1"/>
  <c r="V63" i="1"/>
  <c r="D69" i="2" s="1"/>
  <c r="Z62" i="1"/>
  <c r="F68" i="2" s="1"/>
  <c r="W62" i="1"/>
  <c r="E68" i="2" s="1"/>
  <c r="T68" i="2" s="1"/>
  <c r="V62" i="1"/>
  <c r="D68" i="2" s="1"/>
  <c r="U71" i="2" l="1"/>
  <c r="U73" i="2" s="1"/>
  <c r="S69" i="2"/>
  <c r="Y67" i="1"/>
  <c r="X67" i="1"/>
  <c r="P71" i="2"/>
  <c r="P73" i="2" s="1"/>
  <c r="T69" i="2"/>
  <c r="S68" i="2"/>
  <c r="W65" i="1"/>
  <c r="V70" i="2"/>
  <c r="V71" i="2" s="1"/>
  <c r="V73" i="2" s="1"/>
  <c r="O71" i="2"/>
  <c r="O73" i="2" s="1"/>
  <c r="Q71" i="2"/>
  <c r="Q73" i="2" s="1"/>
  <c r="V65" i="1"/>
  <c r="Z65" i="1"/>
  <c r="E67" i="1"/>
  <c r="R64" i="2"/>
  <c r="Q64" i="2"/>
  <c r="X58" i="1"/>
  <c r="S71" i="2" l="1"/>
  <c r="S73" i="2" s="1"/>
  <c r="T70" i="2"/>
  <c r="T71" i="2" s="1"/>
  <c r="T73" i="2" s="1"/>
  <c r="W67" i="1"/>
  <c r="E71" i="2"/>
  <c r="E73" i="2" s="1"/>
  <c r="Z67" i="1"/>
  <c r="F73" i="2" s="1"/>
  <c r="F71" i="2"/>
  <c r="V67" i="1"/>
  <c r="D71" i="2"/>
  <c r="D73" i="2" s="1"/>
  <c r="Y57" i="1"/>
  <c r="X57" i="1"/>
  <c r="Q62" i="2"/>
  <c r="Y56" i="1"/>
  <c r="X56" i="1"/>
  <c r="V66" i="2" l="1"/>
  <c r="U66" i="2"/>
  <c r="P66" i="2"/>
  <c r="O66" i="2"/>
  <c r="F66" i="2"/>
  <c r="E66" i="2"/>
  <c r="D66" i="2"/>
  <c r="R65" i="2"/>
  <c r="R67" i="2" s="1"/>
  <c r="L65" i="2"/>
  <c r="L67" i="2" s="1"/>
  <c r="K65" i="2"/>
  <c r="K67" i="2" s="1"/>
  <c r="J65" i="2"/>
  <c r="J67" i="2" s="1"/>
  <c r="I65" i="2"/>
  <c r="I67" i="2" s="1"/>
  <c r="H65" i="2"/>
  <c r="H67" i="2" s="1"/>
  <c r="G65" i="2"/>
  <c r="G67" i="2" s="1"/>
  <c r="V64" i="2"/>
  <c r="U64" i="2"/>
  <c r="Q65" i="2"/>
  <c r="Q67" i="2" s="1"/>
  <c r="P64" i="2"/>
  <c r="O64" i="2"/>
  <c r="V63" i="2"/>
  <c r="U63" i="2"/>
  <c r="P63" i="2"/>
  <c r="O63" i="2"/>
  <c r="V62" i="2"/>
  <c r="U62" i="2"/>
  <c r="P62" i="2"/>
  <c r="O62" i="2"/>
  <c r="U61" i="1"/>
  <c r="T61" i="1"/>
  <c r="S61" i="1"/>
  <c r="Y59" i="1"/>
  <c r="Y61" i="1" s="1"/>
  <c r="X59" i="1"/>
  <c r="X61" i="1" s="1"/>
  <c r="R59" i="1"/>
  <c r="R61" i="1" s="1"/>
  <c r="Q59" i="1"/>
  <c r="Q61" i="1" s="1"/>
  <c r="P59" i="1"/>
  <c r="P61" i="1" s="1"/>
  <c r="O59" i="1"/>
  <c r="O61" i="1" s="1"/>
  <c r="N59" i="1"/>
  <c r="N61" i="1" s="1"/>
  <c r="M59" i="1"/>
  <c r="M61" i="1" s="1"/>
  <c r="L59" i="1"/>
  <c r="L61" i="1" s="1"/>
  <c r="K59" i="1"/>
  <c r="K61" i="1" s="1"/>
  <c r="J59" i="1"/>
  <c r="J61" i="1" s="1"/>
  <c r="I59" i="1"/>
  <c r="I61" i="1" s="1"/>
  <c r="H59" i="1"/>
  <c r="H61" i="1" s="1"/>
  <c r="G59" i="1"/>
  <c r="G61" i="1" s="1"/>
  <c r="F59" i="1"/>
  <c r="F61" i="1" s="1"/>
  <c r="E59" i="1"/>
  <c r="E61" i="1" s="1"/>
  <c r="D59" i="1"/>
  <c r="D61" i="1" s="1"/>
  <c r="Z58" i="1"/>
  <c r="F64" i="2" s="1"/>
  <c r="W58" i="1"/>
  <c r="E64" i="2" s="1"/>
  <c r="V58" i="1"/>
  <c r="D64" i="2" s="1"/>
  <c r="Z57" i="1"/>
  <c r="F63" i="2" s="1"/>
  <c r="W57" i="1"/>
  <c r="E63" i="2" s="1"/>
  <c r="V57" i="1"/>
  <c r="D63" i="2" s="1"/>
  <c r="Z56" i="1"/>
  <c r="F62" i="2" s="1"/>
  <c r="W56" i="1"/>
  <c r="E62" i="2" s="1"/>
  <c r="V56" i="1"/>
  <c r="D62" i="2" s="1"/>
  <c r="T64" i="2" l="1"/>
  <c r="T66" i="2"/>
  <c r="S66" i="2"/>
  <c r="V65" i="2"/>
  <c r="V67" i="2" s="1"/>
  <c r="S63" i="2"/>
  <c r="U65" i="2"/>
  <c r="U67" i="2" s="1"/>
  <c r="S62" i="2"/>
  <c r="P65" i="2"/>
  <c r="P67" i="2" s="1"/>
  <c r="T63" i="2"/>
  <c r="S64" i="2"/>
  <c r="T62" i="2"/>
  <c r="O65" i="2"/>
  <c r="O67" i="2" s="1"/>
  <c r="V59" i="1"/>
  <c r="Z59" i="1"/>
  <c r="W59" i="1"/>
  <c r="P60" i="2"/>
  <c r="O60" i="2"/>
  <c r="Z54" i="1"/>
  <c r="F60" i="2" s="1"/>
  <c r="W54" i="1"/>
  <c r="V54" i="1"/>
  <c r="Q58" i="2"/>
  <c r="S65" i="2" l="1"/>
  <c r="S67" i="2" s="1"/>
  <c r="Z61" i="1"/>
  <c r="F67" i="2" s="1"/>
  <c r="F65" i="2"/>
  <c r="W61" i="1"/>
  <c r="E65" i="2"/>
  <c r="E67" i="2" s="1"/>
  <c r="V61" i="1"/>
  <c r="D65" i="2"/>
  <c r="D67" i="2" s="1"/>
  <c r="T65" i="2"/>
  <c r="T67" i="2" s="1"/>
  <c r="V60" i="2"/>
  <c r="U60" i="2"/>
  <c r="R59" i="2"/>
  <c r="R61" i="2" s="1"/>
  <c r="Q59" i="2"/>
  <c r="Q61" i="2" s="1"/>
  <c r="L59" i="2"/>
  <c r="L61" i="2" s="1"/>
  <c r="K59" i="2"/>
  <c r="K61" i="2" s="1"/>
  <c r="J59" i="2"/>
  <c r="J61" i="2" s="1"/>
  <c r="I59" i="2"/>
  <c r="I61" i="2" s="1"/>
  <c r="H59" i="2"/>
  <c r="H61" i="2" s="1"/>
  <c r="G59" i="2"/>
  <c r="V58" i="2"/>
  <c r="U58" i="2"/>
  <c r="P58" i="2"/>
  <c r="O58" i="2"/>
  <c r="V57" i="2"/>
  <c r="U57" i="2"/>
  <c r="P57" i="2"/>
  <c r="O57" i="2"/>
  <c r="V56" i="2"/>
  <c r="U56" i="2"/>
  <c r="P56" i="2"/>
  <c r="O56" i="2"/>
  <c r="U55" i="1"/>
  <c r="T55" i="1"/>
  <c r="S55" i="1"/>
  <c r="E60" i="2"/>
  <c r="T60" i="2" s="1"/>
  <c r="D60" i="2"/>
  <c r="S60" i="2" s="1"/>
  <c r="R53" i="1"/>
  <c r="R55" i="1" s="1"/>
  <c r="Q53" i="1"/>
  <c r="Q55" i="1" s="1"/>
  <c r="P53" i="1"/>
  <c r="P55" i="1" s="1"/>
  <c r="O53" i="1"/>
  <c r="O55" i="1" s="1"/>
  <c r="N53" i="1"/>
  <c r="N55" i="1" s="1"/>
  <c r="M53" i="1"/>
  <c r="M55" i="1" s="1"/>
  <c r="L53" i="1"/>
  <c r="L55" i="1" s="1"/>
  <c r="K53" i="1"/>
  <c r="K55" i="1" s="1"/>
  <c r="J53" i="1"/>
  <c r="J55" i="1" s="1"/>
  <c r="I53" i="1"/>
  <c r="I55" i="1" s="1"/>
  <c r="H53" i="1"/>
  <c r="H55" i="1" s="1"/>
  <c r="G53" i="1"/>
  <c r="G55" i="1" s="1"/>
  <c r="F53" i="1"/>
  <c r="F55" i="1" s="1"/>
  <c r="E53" i="1"/>
  <c r="E55" i="1" s="1"/>
  <c r="D53" i="1"/>
  <c r="D55" i="1" s="1"/>
  <c r="Z52" i="1"/>
  <c r="F58" i="2" s="1"/>
  <c r="W52" i="1"/>
  <c r="E58" i="2" s="1"/>
  <c r="V52" i="1"/>
  <c r="D58" i="2" s="1"/>
  <c r="Z51" i="1"/>
  <c r="F57" i="2" s="1"/>
  <c r="W51" i="1"/>
  <c r="E57" i="2" s="1"/>
  <c r="V51" i="1"/>
  <c r="D57" i="2" s="1"/>
  <c r="Z50" i="1"/>
  <c r="F56" i="2" s="1"/>
  <c r="Y53" i="1"/>
  <c r="Y55" i="1" s="1"/>
  <c r="X53" i="1"/>
  <c r="X55" i="1" s="1"/>
  <c r="W50" i="1"/>
  <c r="E56" i="2" s="1"/>
  <c r="V50" i="1"/>
  <c r="D56" i="2" s="1"/>
  <c r="T56" i="2" l="1"/>
  <c r="S58" i="2"/>
  <c r="T58" i="2"/>
  <c r="U59" i="2"/>
  <c r="U61" i="2" s="1"/>
  <c r="G61" i="2"/>
  <c r="O59" i="2"/>
  <c r="O61" i="2" s="1"/>
  <c r="S56" i="2"/>
  <c r="V59" i="2"/>
  <c r="V61" i="2" s="1"/>
  <c r="P59" i="2"/>
  <c r="P61" i="2" s="1"/>
  <c r="T57" i="2"/>
  <c r="S57" i="2"/>
  <c r="V53" i="1"/>
  <c r="Z53" i="1"/>
  <c r="W53" i="1"/>
  <c r="T59" i="2" l="1"/>
  <c r="T61" i="2" s="1"/>
  <c r="S59" i="2"/>
  <c r="S61" i="2" s="1"/>
  <c r="Z55" i="1"/>
  <c r="F61" i="2" s="1"/>
  <c r="F59" i="2"/>
  <c r="W55" i="1"/>
  <c r="E59" i="2"/>
  <c r="E61" i="2" s="1"/>
  <c r="V55" i="1"/>
  <c r="D59" i="2"/>
  <c r="D61" i="2" s="1"/>
  <c r="S49" i="1"/>
  <c r="T49" i="1"/>
  <c r="U49" i="1"/>
  <c r="W48" i="1"/>
  <c r="V48" i="1"/>
  <c r="Y45" i="1" l="1"/>
  <c r="V51" i="2" s="1"/>
  <c r="X45" i="1"/>
  <c r="U51" i="2" s="1"/>
  <c r="Y44" i="1"/>
  <c r="V50" i="2"/>
  <c r="X44" i="1"/>
  <c r="U50" i="2" s="1"/>
  <c r="V54" i="2"/>
  <c r="U54" i="2"/>
  <c r="R53" i="2"/>
  <c r="R55" i="2" s="1"/>
  <c r="Q53" i="2"/>
  <c r="Q55" i="2" s="1"/>
  <c r="L53" i="2"/>
  <c r="L55" i="2" s="1"/>
  <c r="K53" i="2"/>
  <c r="K55" i="2" s="1"/>
  <c r="J53" i="2"/>
  <c r="J55" i="2" s="1"/>
  <c r="I53" i="2"/>
  <c r="I55" i="2" s="1"/>
  <c r="H53" i="2"/>
  <c r="H55" i="2" s="1"/>
  <c r="G53" i="2"/>
  <c r="G55" i="2" s="1"/>
  <c r="V52" i="2"/>
  <c r="U52" i="2"/>
  <c r="P52" i="2"/>
  <c r="O52" i="2"/>
  <c r="P51" i="2"/>
  <c r="O51" i="2"/>
  <c r="P50" i="2"/>
  <c r="O50" i="2"/>
  <c r="Z46" i="1"/>
  <c r="Z48" i="1"/>
  <c r="E54" i="2"/>
  <c r="T54" i="2" s="1"/>
  <c r="R47" i="1"/>
  <c r="R49" i="1" s="1"/>
  <c r="Q47" i="1"/>
  <c r="Q49" i="1" s="1"/>
  <c r="P47" i="1"/>
  <c r="P49" i="1" s="1"/>
  <c r="O47" i="1"/>
  <c r="O49" i="1" s="1"/>
  <c r="N47" i="1"/>
  <c r="N49" i="1" s="1"/>
  <c r="M47" i="1"/>
  <c r="M49" i="1" s="1"/>
  <c r="L47" i="1"/>
  <c r="L49" i="1" s="1"/>
  <c r="K47" i="1"/>
  <c r="K49" i="1" s="1"/>
  <c r="J47" i="1"/>
  <c r="J49" i="1" s="1"/>
  <c r="I47" i="1"/>
  <c r="I49" i="1" s="1"/>
  <c r="H47" i="1"/>
  <c r="H49" i="1" s="1"/>
  <c r="G47" i="1"/>
  <c r="G49" i="1" s="1"/>
  <c r="F47" i="1"/>
  <c r="F49" i="1" s="1"/>
  <c r="E47" i="1"/>
  <c r="E49" i="1" s="1"/>
  <c r="D47" i="1"/>
  <c r="D49" i="1" s="1"/>
  <c r="W46" i="1"/>
  <c r="E52" i="2" s="1"/>
  <c r="T52" i="2" s="1"/>
  <c r="V46" i="1"/>
  <c r="D52" i="2" s="1"/>
  <c r="Z45" i="1"/>
  <c r="W45" i="1"/>
  <c r="E51" i="2" s="1"/>
  <c r="V45" i="1"/>
  <c r="D51" i="2" s="1"/>
  <c r="Z44" i="1"/>
  <c r="W44" i="1"/>
  <c r="E50" i="2" s="1"/>
  <c r="T50" i="2" s="1"/>
  <c r="V44" i="1"/>
  <c r="D50" i="2" s="1"/>
  <c r="S50" i="2" l="1"/>
  <c r="O53" i="2"/>
  <c r="O55" i="2" s="1"/>
  <c r="P53" i="2"/>
  <c r="P55" i="2" s="1"/>
  <c r="S52" i="2"/>
  <c r="Y47" i="1"/>
  <c r="Y49" i="1" s="1"/>
  <c r="T51" i="2"/>
  <c r="T53" i="2" s="1"/>
  <c r="T55" i="2" s="1"/>
  <c r="X47" i="1"/>
  <c r="X49" i="1" s="1"/>
  <c r="S51" i="2"/>
  <c r="D54" i="2"/>
  <c r="S54" i="2" s="1"/>
  <c r="V53" i="2"/>
  <c r="V55" i="2" s="1"/>
  <c r="V47" i="1"/>
  <c r="Z47" i="1"/>
  <c r="Z49" i="1" s="1"/>
  <c r="W47" i="1"/>
  <c r="W49" i="1" s="1"/>
  <c r="Z42" i="1"/>
  <c r="S53" i="2" l="1"/>
  <c r="U53" i="2"/>
  <c r="U55" i="2" s="1"/>
  <c r="S55" i="2"/>
  <c r="E53" i="2"/>
  <c r="E55" i="2" s="1"/>
  <c r="V49" i="1"/>
  <c r="D53" i="2"/>
  <c r="D55" i="2" s="1"/>
  <c r="N4" i="3"/>
  <c r="U8" i="3"/>
  <c r="T8" i="3"/>
  <c r="L8" i="3"/>
  <c r="K8" i="3"/>
  <c r="J8" i="3"/>
  <c r="I8" i="3"/>
  <c r="R8" i="3"/>
  <c r="Q8" i="3"/>
  <c r="P8" i="3"/>
  <c r="O8" i="3"/>
  <c r="N8" i="3"/>
  <c r="M7" i="3"/>
  <c r="S7" i="3"/>
  <c r="M6" i="3"/>
  <c r="S6" i="3"/>
  <c r="H8" i="3"/>
  <c r="S5" i="3"/>
  <c r="D4" i="3"/>
  <c r="E4" i="3" s="1"/>
  <c r="F4" i="3" s="1"/>
  <c r="G4" i="3" s="1"/>
  <c r="O4" i="3" s="1"/>
  <c r="P4" i="3" s="1"/>
  <c r="Q4" i="3" s="1"/>
  <c r="R4" i="3" s="1"/>
  <c r="S4" i="3" s="1"/>
  <c r="H4" i="3" s="1"/>
  <c r="I4" i="3" s="1"/>
  <c r="J4" i="3" s="1"/>
  <c r="K4" i="3" s="1"/>
  <c r="L4" i="3" s="1"/>
  <c r="M4" i="3" s="1"/>
  <c r="T4" i="3" s="1"/>
  <c r="U4" i="3" s="1"/>
  <c r="V4" i="3" s="1"/>
  <c r="B4" i="3"/>
  <c r="V7" i="3" l="1"/>
  <c r="V6" i="3"/>
  <c r="S8" i="3"/>
  <c r="M8" i="3"/>
  <c r="M5" i="3"/>
  <c r="V5" i="3" s="1"/>
  <c r="V8" i="3" l="1"/>
  <c r="V45" i="2"/>
  <c r="V46" i="2"/>
  <c r="V48" i="2"/>
  <c r="V44" i="2"/>
  <c r="U45" i="2"/>
  <c r="U46" i="2"/>
  <c r="U48" i="2"/>
  <c r="U44" i="2"/>
  <c r="W42" i="1"/>
  <c r="E49" i="2" s="1"/>
  <c r="V42" i="1"/>
  <c r="D48" i="2" s="1"/>
  <c r="Y41" i="1"/>
  <c r="Y43" i="1" s="1"/>
  <c r="X41" i="1"/>
  <c r="X43" i="1" s="1"/>
  <c r="R41" i="1"/>
  <c r="R43" i="1" s="1"/>
  <c r="Q41" i="1"/>
  <c r="Q43" i="1" s="1"/>
  <c r="P41" i="1"/>
  <c r="P43" i="1" s="1"/>
  <c r="O41" i="1"/>
  <c r="O43" i="1" s="1"/>
  <c r="N41" i="1"/>
  <c r="N43" i="1" s="1"/>
  <c r="M41" i="1"/>
  <c r="M43" i="1" s="1"/>
  <c r="L41" i="1"/>
  <c r="L43" i="1" s="1"/>
  <c r="K41" i="1"/>
  <c r="K43" i="1" s="1"/>
  <c r="J41" i="1"/>
  <c r="J43" i="1" s="1"/>
  <c r="I41" i="1"/>
  <c r="I43" i="1" s="1"/>
  <c r="H41" i="1"/>
  <c r="H43" i="1" s="1"/>
  <c r="G41" i="1"/>
  <c r="G43" i="1" s="1"/>
  <c r="F41" i="1"/>
  <c r="E41" i="1"/>
  <c r="E43" i="1" s="1"/>
  <c r="D41" i="1"/>
  <c r="D43" i="1" s="1"/>
  <c r="Z40" i="1"/>
  <c r="W40" i="1"/>
  <c r="E46" i="2" s="1"/>
  <c r="V40" i="1"/>
  <c r="D46" i="2" s="1"/>
  <c r="Z39" i="1"/>
  <c r="W39" i="1"/>
  <c r="E45" i="2" s="1"/>
  <c r="V39" i="1"/>
  <c r="D45" i="2" s="1"/>
  <c r="Z38" i="1"/>
  <c r="W38" i="1"/>
  <c r="E44" i="2" s="1"/>
  <c r="V38" i="1"/>
  <c r="D44" i="2" s="1"/>
  <c r="P48" i="2"/>
  <c r="R47" i="2"/>
  <c r="R49" i="2" s="1"/>
  <c r="Q47" i="2"/>
  <c r="Q49" i="2" s="1"/>
  <c r="L47" i="2"/>
  <c r="L49" i="2" s="1"/>
  <c r="K47" i="2"/>
  <c r="K49" i="2" s="1"/>
  <c r="J47" i="2"/>
  <c r="J49" i="2" s="1"/>
  <c r="I47" i="2"/>
  <c r="I49" i="2" s="1"/>
  <c r="H47" i="2"/>
  <c r="H49" i="2" s="1"/>
  <c r="G47" i="2"/>
  <c r="G49" i="2" s="1"/>
  <c r="P46" i="2"/>
  <c r="O46" i="2"/>
  <c r="P45" i="2"/>
  <c r="O45" i="2"/>
  <c r="P44" i="2"/>
  <c r="O44" i="2"/>
  <c r="D49" i="2" l="1"/>
  <c r="F43" i="1"/>
  <c r="Z41" i="1"/>
  <c r="Z43" i="1" s="1"/>
  <c r="S48" i="2"/>
  <c r="T45" i="2"/>
  <c r="O47" i="2"/>
  <c r="O49" i="2" s="1"/>
  <c r="S45" i="2"/>
  <c r="E48" i="2"/>
  <c r="T48" i="2" s="1"/>
  <c r="T44" i="2"/>
  <c r="S44" i="2"/>
  <c r="V49" i="2"/>
  <c r="V47" i="2"/>
  <c r="U47" i="2"/>
  <c r="P47" i="2"/>
  <c r="P49" i="2" s="1"/>
  <c r="S46" i="2"/>
  <c r="T46" i="2"/>
  <c r="U49" i="2"/>
  <c r="V41" i="1"/>
  <c r="W41" i="1"/>
  <c r="T47" i="2" l="1"/>
  <c r="T49" i="2" s="1"/>
  <c r="S47" i="2"/>
  <c r="S49" i="2" s="1"/>
  <c r="W43" i="1"/>
  <c r="E47" i="2"/>
  <c r="V43" i="1"/>
  <c r="D47" i="2"/>
  <c r="V42" i="2"/>
  <c r="U42" i="2"/>
  <c r="P42" i="2"/>
  <c r="O42" i="2"/>
  <c r="R41" i="2"/>
  <c r="R43" i="2" s="1"/>
  <c r="Q41" i="2"/>
  <c r="Q43" i="2" s="1"/>
  <c r="L41" i="2"/>
  <c r="L43" i="2" s="1"/>
  <c r="K41" i="2"/>
  <c r="K43" i="2" s="1"/>
  <c r="J41" i="2"/>
  <c r="J43" i="2" s="1"/>
  <c r="H41" i="2"/>
  <c r="H43" i="2" s="1"/>
  <c r="G41" i="2"/>
  <c r="G43" i="2" s="1"/>
  <c r="V40" i="2"/>
  <c r="U40" i="2"/>
  <c r="P40" i="2"/>
  <c r="O40" i="2"/>
  <c r="V39" i="2"/>
  <c r="U39" i="2"/>
  <c r="P39" i="2"/>
  <c r="O39" i="2"/>
  <c r="V38" i="2"/>
  <c r="U38" i="2"/>
  <c r="P38" i="2"/>
  <c r="O38" i="2"/>
  <c r="W35" i="1"/>
  <c r="E42" i="2" s="1"/>
  <c r="V35" i="1"/>
  <c r="D42" i="2" s="1"/>
  <c r="Y34" i="1"/>
  <c r="Y36" i="1" s="1"/>
  <c r="X34" i="1"/>
  <c r="X36" i="1" s="1"/>
  <c r="R34" i="1"/>
  <c r="R36" i="1" s="1"/>
  <c r="O34" i="1"/>
  <c r="O36" i="1" s="1"/>
  <c r="L34" i="1"/>
  <c r="L36" i="1" s="1"/>
  <c r="I34" i="1"/>
  <c r="I36" i="1" s="1"/>
  <c r="F34" i="1"/>
  <c r="F36" i="1" s="1"/>
  <c r="Z33" i="1"/>
  <c r="W33" i="1"/>
  <c r="E40" i="2" s="1"/>
  <c r="T40" i="2" s="1"/>
  <c r="V33" i="1"/>
  <c r="D40" i="2" s="1"/>
  <c r="Z32" i="1"/>
  <c r="N34" i="1"/>
  <c r="N36" i="1" s="1"/>
  <c r="H34" i="1"/>
  <c r="H36" i="1" s="1"/>
  <c r="W32" i="1"/>
  <c r="E39" i="2" s="1"/>
  <c r="V32" i="1"/>
  <c r="D39" i="2" s="1"/>
  <c r="Z31" i="1"/>
  <c r="Q34" i="1"/>
  <c r="Q36" i="1" s="1"/>
  <c r="P34" i="1"/>
  <c r="P36" i="1" s="1"/>
  <c r="M34" i="1"/>
  <c r="M36" i="1" s="1"/>
  <c r="K34" i="1"/>
  <c r="K36" i="1" s="1"/>
  <c r="J34" i="1"/>
  <c r="J36" i="1" s="1"/>
  <c r="G34" i="1"/>
  <c r="G36" i="1" s="1"/>
  <c r="E34" i="1"/>
  <c r="D34" i="1"/>
  <c r="P41" i="2" l="1"/>
  <c r="T39" i="2"/>
  <c r="S42" i="2"/>
  <c r="S39" i="2"/>
  <c r="T42" i="2"/>
  <c r="Z34" i="1"/>
  <c r="Z36" i="1" s="1"/>
  <c r="V41" i="2"/>
  <c r="V43" i="2" s="1"/>
  <c r="U41" i="2"/>
  <c r="U43" i="2" s="1"/>
  <c r="P43" i="2"/>
  <c r="O41" i="2"/>
  <c r="O43" i="2" s="1"/>
  <c r="S40" i="2"/>
  <c r="I41" i="2"/>
  <c r="I43" i="2" s="1"/>
  <c r="D36" i="1"/>
  <c r="V34" i="1"/>
  <c r="E36" i="1"/>
  <c r="W34" i="1"/>
  <c r="V31" i="1"/>
  <c r="D38" i="2" s="1"/>
  <c r="S38" i="2" s="1"/>
  <c r="W31" i="1"/>
  <c r="E38" i="2" s="1"/>
  <c r="T38" i="2" s="1"/>
  <c r="V35" i="2"/>
  <c r="U35" i="2"/>
  <c r="D27" i="1"/>
  <c r="V32" i="2"/>
  <c r="V33" i="2"/>
  <c r="U32" i="2"/>
  <c r="U33" i="2"/>
  <c r="K33" i="2"/>
  <c r="K34" i="2" s="1"/>
  <c r="K36" i="2" s="1"/>
  <c r="I33" i="2"/>
  <c r="I34" i="2" s="1"/>
  <c r="I36" i="2" s="1"/>
  <c r="G33" i="2"/>
  <c r="G34" i="2" s="1"/>
  <c r="G36" i="2" s="1"/>
  <c r="P27" i="1"/>
  <c r="M27" i="1"/>
  <c r="J27" i="1"/>
  <c r="G27" i="1"/>
  <c r="Q26" i="1"/>
  <c r="P26" i="1"/>
  <c r="N26" i="1"/>
  <c r="M26" i="1"/>
  <c r="K26" i="1"/>
  <c r="J26" i="1"/>
  <c r="H26" i="1"/>
  <c r="G26" i="1"/>
  <c r="E26" i="1"/>
  <c r="D26" i="1"/>
  <c r="V26" i="1" s="1"/>
  <c r="D32" i="2" s="1"/>
  <c r="U31" i="2"/>
  <c r="V31" i="2"/>
  <c r="W27" i="1"/>
  <c r="E33" i="2" s="1"/>
  <c r="W29" i="1"/>
  <c r="E35" i="2" s="1"/>
  <c r="V29" i="1"/>
  <c r="D35" i="2" s="1"/>
  <c r="Q25" i="1"/>
  <c r="P25" i="1"/>
  <c r="N25" i="1"/>
  <c r="M25" i="1"/>
  <c r="K25" i="1"/>
  <c r="J25" i="1"/>
  <c r="H25" i="1"/>
  <c r="G25" i="1"/>
  <c r="E25" i="1"/>
  <c r="D25" i="1"/>
  <c r="Z25" i="1"/>
  <c r="Z26" i="1"/>
  <c r="Z27" i="1"/>
  <c r="Z29" i="1"/>
  <c r="Y28" i="1"/>
  <c r="Y30" i="1" s="1"/>
  <c r="X28" i="1"/>
  <c r="X30" i="1" s="1"/>
  <c r="R28" i="1"/>
  <c r="R30" i="1" s="1"/>
  <c r="O28" i="1"/>
  <c r="O30" i="1" s="1"/>
  <c r="L28" i="1"/>
  <c r="L30" i="1" s="1"/>
  <c r="I28" i="1"/>
  <c r="I30" i="1" s="1"/>
  <c r="F28" i="1"/>
  <c r="F30" i="1" s="1"/>
  <c r="P31" i="2"/>
  <c r="P32" i="2"/>
  <c r="P33" i="2"/>
  <c r="P35" i="2"/>
  <c r="O31" i="2"/>
  <c r="O32" i="2"/>
  <c r="O35" i="2"/>
  <c r="R34" i="2"/>
  <c r="R36" i="2" s="1"/>
  <c r="Q34" i="2"/>
  <c r="Q36" i="2" s="1"/>
  <c r="L34" i="2"/>
  <c r="L36" i="2" s="1"/>
  <c r="J34" i="2"/>
  <c r="J36" i="2" s="1"/>
  <c r="H34" i="2"/>
  <c r="H36" i="2" s="1"/>
  <c r="V27" i="2"/>
  <c r="U27" i="2"/>
  <c r="Z23" i="1"/>
  <c r="W23" i="1"/>
  <c r="V23" i="1"/>
  <c r="L25" i="2"/>
  <c r="P25" i="2" s="1"/>
  <c r="K25" i="2"/>
  <c r="O25" i="2" s="1"/>
  <c r="V25" i="2"/>
  <c r="U25" i="2"/>
  <c r="Q21" i="1"/>
  <c r="P21" i="1"/>
  <c r="N21" i="1"/>
  <c r="M21" i="1"/>
  <c r="K21" i="1"/>
  <c r="J21" i="1"/>
  <c r="H21" i="1"/>
  <c r="G21" i="1"/>
  <c r="E21" i="1"/>
  <c r="D21" i="1"/>
  <c r="V24" i="2"/>
  <c r="U24" i="2"/>
  <c r="V23" i="2"/>
  <c r="U23" i="2"/>
  <c r="Z20" i="1"/>
  <c r="Q20" i="1"/>
  <c r="P20" i="1"/>
  <c r="N20" i="1"/>
  <c r="M20" i="1"/>
  <c r="K20" i="1"/>
  <c r="W20" i="1" s="1"/>
  <c r="E24" i="2" s="1"/>
  <c r="J20" i="1"/>
  <c r="H20" i="1"/>
  <c r="G20" i="1"/>
  <c r="E20" i="1"/>
  <c r="D20" i="1"/>
  <c r="P23" i="2"/>
  <c r="Q19" i="1"/>
  <c r="P19" i="1"/>
  <c r="N19" i="1"/>
  <c r="M19" i="1"/>
  <c r="K19" i="1"/>
  <c r="J19" i="1"/>
  <c r="G19" i="1"/>
  <c r="G22" i="1" s="1"/>
  <c r="G24" i="1" s="1"/>
  <c r="H19" i="1"/>
  <c r="E19" i="1"/>
  <c r="D19" i="1"/>
  <c r="Z19" i="1"/>
  <c r="Z21" i="1"/>
  <c r="Y22" i="1"/>
  <c r="Y24" i="1" s="1"/>
  <c r="X22" i="1"/>
  <c r="X24" i="1" s="1"/>
  <c r="R22" i="1"/>
  <c r="R24" i="1" s="1"/>
  <c r="O22" i="1"/>
  <c r="O24" i="1" s="1"/>
  <c r="L22" i="1"/>
  <c r="L24" i="1" s="1"/>
  <c r="I22" i="1"/>
  <c r="I24" i="1" s="1"/>
  <c r="F22" i="1"/>
  <c r="F24" i="1" s="1"/>
  <c r="P24" i="2"/>
  <c r="P27" i="2"/>
  <c r="T27" i="2" s="1"/>
  <c r="O23" i="2"/>
  <c r="O24" i="2"/>
  <c r="O27" i="2"/>
  <c r="S27" i="2" s="1"/>
  <c r="R26" i="2"/>
  <c r="R28" i="2" s="1"/>
  <c r="Q26" i="2"/>
  <c r="Q28" i="2" s="1"/>
  <c r="N26" i="2"/>
  <c r="N28" i="2" s="1"/>
  <c r="M26" i="2"/>
  <c r="M28" i="2" s="1"/>
  <c r="L26" i="2"/>
  <c r="L28" i="2" s="1"/>
  <c r="J26" i="2"/>
  <c r="J28" i="2" s="1"/>
  <c r="I26" i="2"/>
  <c r="I28" i="2" s="1"/>
  <c r="H26" i="2"/>
  <c r="H28" i="2" s="1"/>
  <c r="G26" i="2"/>
  <c r="G28" i="2" s="1"/>
  <c r="U19" i="2"/>
  <c r="V19" i="2"/>
  <c r="U16" i="2"/>
  <c r="V16" i="2"/>
  <c r="U17" i="2"/>
  <c r="V17" i="2"/>
  <c r="V15" i="2"/>
  <c r="U15" i="2"/>
  <c r="V14" i="1"/>
  <c r="D16" i="2" s="1"/>
  <c r="W14" i="1"/>
  <c r="E16" i="2" s="1"/>
  <c r="V15" i="1"/>
  <c r="D17" i="2" s="1"/>
  <c r="W15" i="1"/>
  <c r="E17" i="2" s="1"/>
  <c r="W13" i="1"/>
  <c r="E15" i="2" s="1"/>
  <c r="V13" i="1"/>
  <c r="D15" i="2" s="1"/>
  <c r="Z13" i="1"/>
  <c r="Z14" i="1"/>
  <c r="Z15" i="1"/>
  <c r="Y16" i="1"/>
  <c r="Y18" i="1" s="1"/>
  <c r="X16" i="1"/>
  <c r="X18" i="1" s="1"/>
  <c r="E16" i="1"/>
  <c r="E18" i="1" s="1"/>
  <c r="H16" i="1"/>
  <c r="H18" i="1" s="1"/>
  <c r="K16" i="1"/>
  <c r="K18" i="1" s="1"/>
  <c r="N16" i="1"/>
  <c r="N18" i="1" s="1"/>
  <c r="Q16" i="1"/>
  <c r="Q18" i="1" s="1"/>
  <c r="W17" i="1"/>
  <c r="D16" i="1"/>
  <c r="G16" i="1"/>
  <c r="G18" i="1" s="1"/>
  <c r="J16" i="1"/>
  <c r="J18" i="1" s="1"/>
  <c r="M16" i="1"/>
  <c r="M18" i="1" s="1"/>
  <c r="P16" i="1"/>
  <c r="P18" i="1" s="1"/>
  <c r="V17" i="1"/>
  <c r="R16" i="1"/>
  <c r="R18" i="1" s="1"/>
  <c r="O16" i="1"/>
  <c r="O18" i="1" s="1"/>
  <c r="L16" i="1"/>
  <c r="L18" i="1" s="1"/>
  <c r="I16" i="1"/>
  <c r="I18" i="1" s="1"/>
  <c r="F16" i="1"/>
  <c r="F18" i="1" s="1"/>
  <c r="P15" i="2"/>
  <c r="P16" i="2"/>
  <c r="P17" i="2"/>
  <c r="P19" i="2"/>
  <c r="T19" i="2" s="1"/>
  <c r="O15" i="2"/>
  <c r="O16" i="2"/>
  <c r="O17" i="2"/>
  <c r="O19" i="2"/>
  <c r="S19" i="2" s="1"/>
  <c r="R18" i="2"/>
  <c r="R20" i="2" s="1"/>
  <c r="Q18" i="2"/>
  <c r="Q20" i="2" s="1"/>
  <c r="N18" i="2"/>
  <c r="N20" i="2" s="1"/>
  <c r="M18" i="2"/>
  <c r="M20" i="2" s="1"/>
  <c r="L18" i="2"/>
  <c r="L20" i="2" s="1"/>
  <c r="K18" i="2"/>
  <c r="K20" i="2" s="1"/>
  <c r="J18" i="2"/>
  <c r="J20" i="2" s="1"/>
  <c r="I18" i="2"/>
  <c r="I20" i="2" s="1"/>
  <c r="H18" i="2"/>
  <c r="H20" i="2" s="1"/>
  <c r="G18" i="2"/>
  <c r="G20" i="2" s="1"/>
  <c r="G11" i="2"/>
  <c r="G13" i="2" s="1"/>
  <c r="H11" i="2"/>
  <c r="H13" i="2" s="1"/>
  <c r="P12" i="2"/>
  <c r="T12" i="2" s="1"/>
  <c r="O12" i="2"/>
  <c r="S12" i="2" s="1"/>
  <c r="V9" i="1"/>
  <c r="D10" i="2" s="1"/>
  <c r="W9" i="1"/>
  <c r="E10" i="2" s="1"/>
  <c r="V8" i="1"/>
  <c r="D9" i="2" s="1"/>
  <c r="W8" i="1"/>
  <c r="E9" i="2" s="1"/>
  <c r="P9" i="2"/>
  <c r="P10" i="2"/>
  <c r="W7" i="1"/>
  <c r="E8" i="2" s="1"/>
  <c r="P8" i="2"/>
  <c r="U9" i="2"/>
  <c r="U10" i="2"/>
  <c r="U8" i="2"/>
  <c r="V9" i="2"/>
  <c r="V10" i="2"/>
  <c r="V8" i="2"/>
  <c r="O9" i="2"/>
  <c r="O10" i="2"/>
  <c r="V7" i="1"/>
  <c r="D8" i="2" s="1"/>
  <c r="O8" i="2"/>
  <c r="Z7" i="1"/>
  <c r="Z8" i="1"/>
  <c r="Z9" i="1"/>
  <c r="Y10" i="1"/>
  <c r="Y12" i="1" s="1"/>
  <c r="X10" i="1"/>
  <c r="X12" i="1" s="1"/>
  <c r="E10" i="1"/>
  <c r="E12" i="1" s="1"/>
  <c r="H10" i="1"/>
  <c r="H12" i="1" s="1"/>
  <c r="K10" i="1"/>
  <c r="K12" i="1" s="1"/>
  <c r="N10" i="1"/>
  <c r="N12" i="1" s="1"/>
  <c r="Q10" i="1"/>
  <c r="Q12" i="1" s="1"/>
  <c r="W11" i="1"/>
  <c r="D10" i="1"/>
  <c r="G10" i="1"/>
  <c r="G12" i="1" s="1"/>
  <c r="J10" i="1"/>
  <c r="J12" i="1" s="1"/>
  <c r="M10" i="1"/>
  <c r="M12" i="1" s="1"/>
  <c r="P10" i="1"/>
  <c r="P12" i="1" s="1"/>
  <c r="V11" i="1"/>
  <c r="R10" i="1"/>
  <c r="R12" i="1" s="1"/>
  <c r="O10" i="1"/>
  <c r="O12" i="1" s="1"/>
  <c r="L10" i="1"/>
  <c r="L12" i="1" s="1"/>
  <c r="I10" i="1"/>
  <c r="I12" i="1" s="1"/>
  <c r="F10" i="1"/>
  <c r="F12" i="1" s="1"/>
  <c r="R11" i="2"/>
  <c r="R13" i="2" s="1"/>
  <c r="Q11" i="2"/>
  <c r="Q13" i="2" s="1"/>
  <c r="N11" i="2"/>
  <c r="N13" i="2" s="1"/>
  <c r="M11" i="2"/>
  <c r="M13" i="2" s="1"/>
  <c r="L11" i="2"/>
  <c r="L13" i="2" s="1"/>
  <c r="K11" i="2"/>
  <c r="K13" i="2" s="1"/>
  <c r="J11" i="2"/>
  <c r="J13" i="2" s="1"/>
  <c r="I11" i="2"/>
  <c r="I13" i="2" s="1"/>
  <c r="K26" i="2" l="1"/>
  <c r="K28" i="2" s="1"/>
  <c r="W21" i="1"/>
  <c r="E25" i="2" s="1"/>
  <c r="W26" i="1"/>
  <c r="E32" i="2" s="1"/>
  <c r="S9" i="2"/>
  <c r="U26" i="2"/>
  <c r="V26" i="2"/>
  <c r="V28" i="2" s="1"/>
  <c r="V20" i="1"/>
  <c r="D24" i="2" s="1"/>
  <c r="S24" i="2" s="1"/>
  <c r="V21" i="1"/>
  <c r="D25" i="2" s="1"/>
  <c r="S25" i="2" s="1"/>
  <c r="Z22" i="1"/>
  <c r="Z24" i="1" s="1"/>
  <c r="E28" i="1"/>
  <c r="H28" i="1"/>
  <c r="H30" i="1" s="1"/>
  <c r="K28" i="1"/>
  <c r="K30" i="1" s="1"/>
  <c r="N28" i="1"/>
  <c r="N30" i="1" s="1"/>
  <c r="Q28" i="1"/>
  <c r="Q30" i="1" s="1"/>
  <c r="V27" i="1"/>
  <c r="D33" i="2" s="1"/>
  <c r="E22" i="1"/>
  <c r="E24" i="1" s="1"/>
  <c r="K22" i="1"/>
  <c r="K24" i="1" s="1"/>
  <c r="N22" i="1"/>
  <c r="N24" i="1" s="1"/>
  <c r="Q22" i="1"/>
  <c r="Q24" i="1" s="1"/>
  <c r="T41" i="2"/>
  <c r="T43" i="2" s="1"/>
  <c r="V16" i="1"/>
  <c r="V18" i="1" s="1"/>
  <c r="W16" i="1"/>
  <c r="W18" i="1" s="1"/>
  <c r="D18" i="1"/>
  <c r="W25" i="1"/>
  <c r="E31" i="2" s="1"/>
  <c r="T31" i="2" s="1"/>
  <c r="D28" i="1"/>
  <c r="D30" i="1" s="1"/>
  <c r="G28" i="1"/>
  <c r="G30" i="1" s="1"/>
  <c r="J28" i="1"/>
  <c r="J30" i="1" s="1"/>
  <c r="M28" i="1"/>
  <c r="M30" i="1" s="1"/>
  <c r="P28" i="1"/>
  <c r="P30" i="1" s="1"/>
  <c r="Z10" i="1"/>
  <c r="Z12" i="1" s="1"/>
  <c r="H22" i="1"/>
  <c r="H24" i="1" s="1"/>
  <c r="J22" i="1"/>
  <c r="J24" i="1" s="1"/>
  <c r="M22" i="1"/>
  <c r="M24" i="1" s="1"/>
  <c r="P22" i="1"/>
  <c r="P24" i="1" s="1"/>
  <c r="V25" i="1"/>
  <c r="D31" i="2" s="1"/>
  <c r="S31" i="2" s="1"/>
  <c r="Z28" i="1"/>
  <c r="Z30" i="1" s="1"/>
  <c r="S41" i="2"/>
  <c r="S43" i="2" s="1"/>
  <c r="W36" i="1"/>
  <c r="E43" i="2" s="1"/>
  <c r="E41" i="2"/>
  <c r="V36" i="1"/>
  <c r="D43" i="2" s="1"/>
  <c r="D41" i="2"/>
  <c r="E11" i="2"/>
  <c r="E13" i="2" s="1"/>
  <c r="P18" i="2"/>
  <c r="P20" i="2" s="1"/>
  <c r="P34" i="2"/>
  <c r="P36" i="2" s="1"/>
  <c r="O26" i="2"/>
  <c r="O28" i="2" s="1"/>
  <c r="U11" i="2"/>
  <c r="U13" i="2" s="1"/>
  <c r="T8" i="2"/>
  <c r="P11" i="2"/>
  <c r="P13" i="2" s="1"/>
  <c r="P26" i="2"/>
  <c r="P28" i="2" s="1"/>
  <c r="O18" i="2"/>
  <c r="O20" i="2" s="1"/>
  <c r="V18" i="2"/>
  <c r="V20" i="2" s="1"/>
  <c r="U18" i="2"/>
  <c r="U20" i="2" s="1"/>
  <c r="V34" i="2"/>
  <c r="V36" i="2" s="1"/>
  <c r="O33" i="2"/>
  <c r="O34" i="2" s="1"/>
  <c r="O36" i="2" s="1"/>
  <c r="O11" i="2"/>
  <c r="O13" i="2" s="1"/>
  <c r="U28" i="2"/>
  <c r="S32" i="2"/>
  <c r="U34" i="2"/>
  <c r="U36" i="2" s="1"/>
  <c r="S10" i="2"/>
  <c r="V11" i="2"/>
  <c r="V13" i="2" s="1"/>
  <c r="S8" i="2"/>
  <c r="D11" i="2"/>
  <c r="D13" i="2" s="1"/>
  <c r="T9" i="2"/>
  <c r="T10" i="2"/>
  <c r="T16" i="2"/>
  <c r="Z16" i="1"/>
  <c r="Z18" i="1" s="1"/>
  <c r="S17" i="2"/>
  <c r="T24" i="2"/>
  <c r="V19" i="1"/>
  <c r="D23" i="2" s="1"/>
  <c r="S23" i="2" s="1"/>
  <c r="S35" i="2"/>
  <c r="T35" i="2"/>
  <c r="T33" i="2"/>
  <c r="V10" i="1"/>
  <c r="V12" i="1" s="1"/>
  <c r="W10" i="1"/>
  <c r="W12" i="1" s="1"/>
  <c r="S16" i="2"/>
  <c r="T17" i="2"/>
  <c r="T25" i="2"/>
  <c r="T32" i="2"/>
  <c r="T15" i="2"/>
  <c r="E18" i="2"/>
  <c r="E20" i="2" s="1"/>
  <c r="D12" i="1"/>
  <c r="S15" i="2"/>
  <c r="D18" i="2"/>
  <c r="D20" i="2" s="1"/>
  <c r="D22" i="1"/>
  <c r="W19" i="1"/>
  <c r="E23" i="2" s="1"/>
  <c r="W28" i="1" l="1"/>
  <c r="E30" i="1"/>
  <c r="S33" i="2"/>
  <c r="S34" i="2" s="1"/>
  <c r="S36" i="2" s="1"/>
  <c r="W22" i="1"/>
  <c r="W24" i="1" s="1"/>
  <c r="V28" i="1"/>
  <c r="V30" i="1" s="1"/>
  <c r="D36" i="2" s="1"/>
  <c r="D26" i="2"/>
  <c r="D28" i="2" s="1"/>
  <c r="S11" i="2"/>
  <c r="S13" i="2" s="1"/>
  <c r="S26" i="2"/>
  <c r="S28" i="2" s="1"/>
  <c r="S18" i="2"/>
  <c r="S20" i="2" s="1"/>
  <c r="T11" i="2"/>
  <c r="T13" i="2" s="1"/>
  <c r="T18" i="2"/>
  <c r="T20" i="2" s="1"/>
  <c r="T34" i="2"/>
  <c r="T36" i="2" s="1"/>
  <c r="E26" i="2"/>
  <c r="E28" i="2" s="1"/>
  <c r="T23" i="2"/>
  <c r="T26" i="2" s="1"/>
  <c r="T28" i="2" s="1"/>
  <c r="V22" i="1"/>
  <c r="V24" i="1" s="1"/>
  <c r="D24" i="1"/>
  <c r="W30" i="1"/>
  <c r="E36" i="2" s="1"/>
  <c r="E34" i="2"/>
  <c r="D34" i="2" l="1"/>
</calcChain>
</file>

<file path=xl/sharedStrings.xml><?xml version="1.0" encoding="utf-8"?>
<sst xmlns="http://schemas.openxmlformats.org/spreadsheetml/2006/main" count="393" uniqueCount="72">
  <si>
    <t>Lfd.Nr.</t>
  </si>
  <si>
    <t>Schuljahr</t>
  </si>
  <si>
    <t>5. Jahrgang</t>
  </si>
  <si>
    <t>6. Jahrgang</t>
  </si>
  <si>
    <t>7. Jahrgang</t>
  </si>
  <si>
    <t>8. Jahrgang</t>
  </si>
  <si>
    <t>9. Jahrgang</t>
  </si>
  <si>
    <t>10. Jahrgang</t>
  </si>
  <si>
    <t>Kl.</t>
  </si>
  <si>
    <t>Sch.</t>
  </si>
  <si>
    <t xml:space="preserve"> Kl.</t>
  </si>
  <si>
    <t>Gymnasium St. Mauritz</t>
  </si>
  <si>
    <t>Kardinal-von-Galen-Gymnasium</t>
  </si>
  <si>
    <t>Marienschule</t>
  </si>
  <si>
    <t>Lfd.
Nr.</t>
  </si>
  <si>
    <t>gesamt</t>
  </si>
  <si>
    <t>Schülerinnen und Schüler S I</t>
  </si>
  <si>
    <t>w.</t>
  </si>
  <si>
    <t>13. JG</t>
  </si>
  <si>
    <t>Bischöfliche Gymnasien gesamt</t>
  </si>
  <si>
    <t>Städt. und Bischöfl. Gymnasien gesamt</t>
  </si>
  <si>
    <t>Städtische Gymnasien
gesamt</t>
  </si>
  <si>
    <t>2010/2011</t>
  </si>
  <si>
    <t>S I</t>
  </si>
  <si>
    <t>Schülerinnen und Schüler</t>
  </si>
  <si>
    <t>S I und S II</t>
  </si>
  <si>
    <r>
      <t>1)</t>
    </r>
    <r>
      <rPr>
        <sz val="12"/>
        <rFont val="Arial"/>
        <family val="2"/>
      </rPr>
      <t xml:space="preserve"> EF = Einführungsphase der gymnasialen Oberstufe (G8)</t>
    </r>
  </si>
  <si>
    <t>Städt. und bischöfl. Gymnasien gesamt</t>
  </si>
  <si>
    <t>2011/2012</t>
  </si>
  <si>
    <r>
      <t>2)</t>
    </r>
    <r>
      <rPr>
        <sz val="12"/>
        <rFont val="Arial"/>
        <family val="2"/>
      </rPr>
      <t xml:space="preserve"> Q1 = Qualifikationsphase</t>
    </r>
  </si>
  <si>
    <t>2012/2013</t>
  </si>
  <si>
    <r>
      <t>1)</t>
    </r>
    <r>
      <rPr>
        <sz val="12"/>
        <rFont val="Arial"/>
        <family val="2"/>
      </rPr>
      <t xml:space="preserve"> EF = Einführungsphase, Q1 und  Q2 = Qualifizierungsphase der gymnasialen Oberstufe (G8)</t>
    </r>
  </si>
  <si>
    <t>2013/2014</t>
  </si>
  <si>
    <t>2014/2015</t>
  </si>
  <si>
    <t>Städtische und bischöfliche Gymnasien gesamt</t>
  </si>
  <si>
    <r>
      <t>Kardinal-von-Galen-Gymnasium</t>
    </r>
    <r>
      <rPr>
        <vertAlign val="superscript"/>
        <sz val="12"/>
        <rFont val="Arial"/>
        <family val="2"/>
      </rPr>
      <t>1)</t>
    </r>
  </si>
  <si>
    <r>
      <rPr>
        <vertAlign val="superscript"/>
        <sz val="11"/>
        <rFont val="Arial"/>
        <family val="2"/>
      </rPr>
      <t>1)</t>
    </r>
    <r>
      <rPr>
        <sz val="11"/>
        <rFont val="Arial"/>
        <family val="2"/>
      </rPr>
      <t xml:space="preserve"> In den Jahrgängen 7 und 8 wurde jeweils 1 Integrationsklasse gebildet.</t>
    </r>
  </si>
  <si>
    <t xml:space="preserve">Gymnasium  </t>
  </si>
  <si>
    <t>Gymnasium</t>
  </si>
  <si>
    <t xml:space="preserve"> gesamt</t>
  </si>
  <si>
    <t>darunter
Ausländer</t>
  </si>
  <si>
    <t>darunter Ausländer</t>
  </si>
  <si>
    <t>2015/2016</t>
  </si>
  <si>
    <t>Lfd. 
Nr.</t>
  </si>
  <si>
    <t>Schule des 
gemeinsamen Lernens</t>
  </si>
  <si>
    <t>Referenzschule für Seiteneinsteiger</t>
  </si>
  <si>
    <t>Integrationsklassen</t>
  </si>
  <si>
    <t>Auffangklassen
(lfd. SJ)</t>
  </si>
  <si>
    <t>Vor-
bereitungs-
klassen
(Beginn SJ)</t>
  </si>
  <si>
    <t>Klassen
gesamt</t>
  </si>
  <si>
    <t>Jahrgang</t>
  </si>
  <si>
    <t>ja</t>
  </si>
  <si>
    <t>nein</t>
  </si>
  <si>
    <t>Ges.</t>
  </si>
  <si>
    <t>keine Intetrationsklassen</t>
  </si>
  <si>
    <t>2016/2017</t>
  </si>
  <si>
    <t>2017/2018</t>
  </si>
  <si>
    <t>2018/2019</t>
  </si>
  <si>
    <t>2019/2020</t>
  </si>
  <si>
    <t>2020/2021</t>
  </si>
  <si>
    <r>
      <t>S II</t>
    </r>
    <r>
      <rPr>
        <vertAlign val="superscript"/>
        <sz val="12"/>
        <rFont val="Arial"/>
        <family val="2"/>
      </rPr>
      <t>1)</t>
    </r>
  </si>
  <si>
    <r>
      <rPr>
        <vertAlign val="superscript"/>
        <sz val="10"/>
        <rFont val="Arial"/>
        <family val="2"/>
      </rPr>
      <t>1)</t>
    </r>
    <r>
      <rPr>
        <sz val="10"/>
        <rFont val="Arial"/>
        <family val="2"/>
      </rPr>
      <t xml:space="preserve"> EF =  Einführungsphase</t>
    </r>
  </si>
  <si>
    <t>EF (G8)</t>
  </si>
  <si>
    <t>2021/2022</t>
  </si>
  <si>
    <t>1.9.2    Bischöfliche Gymnasien - Schüler/innen- und Klassenzahlen im Schuljahr 2021/2022</t>
  </si>
  <si>
    <t>Q1</t>
  </si>
  <si>
    <t>Q2</t>
  </si>
  <si>
    <r>
      <rPr>
        <vertAlign val="superscript"/>
        <sz val="10"/>
        <rFont val="Arial"/>
        <family val="2"/>
      </rPr>
      <t>1)</t>
    </r>
    <r>
      <rPr>
        <sz val="10"/>
        <rFont val="Arial"/>
        <family val="2"/>
      </rPr>
      <t xml:space="preserve"> EF =  Einführungsphase; Q1 + Q2 = Qualifizierungsphase</t>
    </r>
  </si>
  <si>
    <t>Gymnasium St. Mauritz - 
priv. bischöfl. Gymnasium</t>
  </si>
  <si>
    <t>Kardinal-von-Galen-Gymnasium - 
priv. bischöfl. Gymnasium</t>
  </si>
  <si>
    <t>Marienschule - 
priv. bischöfl. 
Mädchengymnasium</t>
  </si>
  <si>
    <t>1.9.2    Bischöfliche Gymnasien - Schüler/innen- und Klassenzahlen ab dem Schuljahr 2010/2011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</si>
</sst>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\ _€_-;\-* #,##0\ _€_-;_-* &quot;-&quot;\ _€_-;_-@_-"/>
    <numFmt numFmtId="165" formatCode="#,##0_ ;[Red]\-#,##0\ "/>
    <numFmt numFmtId="166" formatCode="###\ ###\ ;\-###\ ###\ ;\-\ "/>
  </numFmts>
  <fonts count="15" x14ac:knownFonts="1">
    <font>
      <sz val="10"/>
      <name val="Arial"/>
    </font>
    <font>
      <sz val="11"/>
      <color theme="1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i/>
      <sz val="12"/>
      <name val="Arial"/>
      <family val="2"/>
    </font>
    <font>
      <vertAlign val="superscript"/>
      <sz val="12"/>
      <name val="Arial"/>
      <family val="2"/>
    </font>
    <font>
      <sz val="11"/>
      <name val="Arial"/>
      <family val="2"/>
    </font>
    <font>
      <vertAlign val="superscript"/>
      <sz val="11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b/>
      <sz val="11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</fonts>
  <fills count="2">
    <fill>
      <patternFill patternType="none"/>
    </fill>
    <fill>
      <patternFill patternType="gray125"/>
    </fill>
  </fills>
  <borders count="8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/>
      <top/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5">
    <xf numFmtId="0" fontId="0" fillId="0" borderId="0" xfId="0"/>
    <xf numFmtId="0" fontId="3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/>
    </xf>
    <xf numFmtId="0" fontId="9" fillId="0" borderId="61" xfId="0" applyFont="1" applyBorder="1" applyAlignment="1">
      <alignment horizontal="center" vertical="center"/>
    </xf>
    <xf numFmtId="0" fontId="9" fillId="0" borderId="33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0" fontId="10" fillId="0" borderId="72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 wrapText="1"/>
    </xf>
    <xf numFmtId="0" fontId="10" fillId="0" borderId="60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 wrapText="1"/>
    </xf>
    <xf numFmtId="0" fontId="10" fillId="0" borderId="73" xfId="0" applyFont="1" applyBorder="1" applyAlignment="1">
      <alignment horizontal="center" vertical="center" wrapText="1"/>
    </xf>
    <xf numFmtId="0" fontId="2" fillId="0" borderId="74" xfId="0" applyFont="1" applyFill="1" applyBorder="1" applyAlignment="1" applyProtection="1">
      <alignment horizontal="center" vertical="center"/>
    </xf>
    <xf numFmtId="0" fontId="2" fillId="0" borderId="57" xfId="0" applyFont="1" applyFill="1" applyBorder="1" applyAlignment="1" applyProtection="1">
      <alignment horizontal="center" vertical="center"/>
    </xf>
    <xf numFmtId="0" fontId="2" fillId="0" borderId="75" xfId="0" applyFont="1" applyFill="1" applyBorder="1" applyAlignment="1" applyProtection="1">
      <alignment vertical="center" wrapText="1"/>
    </xf>
    <xf numFmtId="0" fontId="9" fillId="0" borderId="74" xfId="0" applyFont="1" applyBorder="1" applyAlignment="1">
      <alignment horizontal="center" vertical="center"/>
    </xf>
    <xf numFmtId="0" fontId="9" fillId="0" borderId="34" xfId="0" applyFont="1" applyBorder="1" applyAlignment="1">
      <alignment horizontal="center" vertical="center"/>
    </xf>
    <xf numFmtId="0" fontId="9" fillId="0" borderId="59" xfId="0" applyFont="1" applyBorder="1" applyAlignment="1">
      <alignment horizontal="center" vertical="center"/>
    </xf>
    <xf numFmtId="166" fontId="2" fillId="0" borderId="74" xfId="0" applyNumberFormat="1" applyFont="1" applyBorder="1" applyAlignment="1">
      <alignment horizontal="center" vertical="center" wrapText="1"/>
    </xf>
    <xf numFmtId="166" fontId="2" fillId="0" borderId="7" xfId="0" applyNumberFormat="1" applyFont="1" applyBorder="1" applyAlignment="1">
      <alignment horizontal="center" vertical="center" wrapText="1"/>
    </xf>
    <xf numFmtId="166" fontId="2" fillId="0" borderId="58" xfId="0" applyNumberFormat="1" applyFont="1" applyBorder="1" applyAlignment="1">
      <alignment horizontal="center" vertical="center" wrapText="1"/>
    </xf>
    <xf numFmtId="166" fontId="2" fillId="0" borderId="34" xfId="0" applyNumberFormat="1" applyFont="1" applyBorder="1" applyAlignment="1">
      <alignment horizontal="center" vertical="center" wrapText="1"/>
    </xf>
    <xf numFmtId="166" fontId="2" fillId="0" borderId="59" xfId="0" applyNumberFormat="1" applyFont="1" applyBorder="1" applyAlignment="1">
      <alignment horizontal="center" vertical="center" wrapText="1"/>
    </xf>
    <xf numFmtId="166" fontId="2" fillId="0" borderId="76" xfId="0" applyNumberFormat="1" applyFont="1" applyBorder="1" applyAlignment="1">
      <alignment horizontal="center" vertical="center" wrapText="1"/>
    </xf>
    <xf numFmtId="166" fontId="9" fillId="0" borderId="76" xfId="0" applyNumberFormat="1" applyFont="1" applyBorder="1" applyAlignment="1">
      <alignment horizontal="center" vertical="center"/>
    </xf>
    <xf numFmtId="0" fontId="2" fillId="0" borderId="5" xfId="0" applyFont="1" applyFill="1" applyBorder="1" applyAlignment="1" applyProtection="1">
      <alignment horizontal="center" vertical="center"/>
    </xf>
    <xf numFmtId="0" fontId="2" fillId="0" borderId="43" xfId="0" applyFont="1" applyFill="1" applyBorder="1" applyAlignment="1" applyProtection="1">
      <alignment horizontal="center" vertical="center"/>
    </xf>
    <xf numFmtId="0" fontId="2" fillId="0" borderId="45" xfId="0" applyFont="1" applyFill="1" applyBorder="1" applyAlignment="1" applyProtection="1">
      <alignment vertical="center" wrapText="1"/>
    </xf>
    <xf numFmtId="0" fontId="9" fillId="0" borderId="5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166" fontId="2" fillId="0" borderId="5" xfId="0" applyNumberFormat="1" applyFont="1" applyBorder="1" applyAlignment="1">
      <alignment horizontal="center" vertical="center" wrapText="1"/>
    </xf>
    <xf numFmtId="166" fontId="2" fillId="0" borderId="2" xfId="0" applyNumberFormat="1" applyFont="1" applyBorder="1" applyAlignment="1">
      <alignment horizontal="center" vertical="center" wrapText="1"/>
    </xf>
    <xf numFmtId="166" fontId="2" fillId="0" borderId="13" xfId="0" applyNumberFormat="1" applyFont="1" applyBorder="1" applyAlignment="1">
      <alignment horizontal="center" vertical="center" wrapText="1"/>
    </xf>
    <xf numFmtId="166" fontId="2" fillId="0" borderId="14" xfId="0" applyNumberFormat="1" applyFont="1" applyBorder="1" applyAlignment="1">
      <alignment horizontal="center" vertical="center" wrapText="1"/>
    </xf>
    <xf numFmtId="166" fontId="2" fillId="0" borderId="16" xfId="0" applyNumberFormat="1" applyFont="1" applyBorder="1" applyAlignment="1">
      <alignment horizontal="center" vertical="center" wrapText="1"/>
    </xf>
    <xf numFmtId="166" fontId="2" fillId="0" borderId="68" xfId="0" applyNumberFormat="1" applyFont="1" applyBorder="1" applyAlignment="1">
      <alignment horizontal="center" vertical="center" wrapText="1"/>
    </xf>
    <xf numFmtId="0" fontId="9" fillId="0" borderId="68" xfId="0" applyFont="1" applyBorder="1" applyAlignment="1">
      <alignment horizontal="center" vertical="center"/>
    </xf>
    <xf numFmtId="0" fontId="3" fillId="0" borderId="6" xfId="0" applyFont="1" applyFill="1" applyBorder="1" applyAlignment="1" applyProtection="1">
      <alignment horizontal="center" vertical="center"/>
    </xf>
    <xf numFmtId="0" fontId="3" fillId="0" borderId="11" xfId="0" applyFont="1" applyFill="1" applyBorder="1" applyAlignment="1" applyProtection="1">
      <alignment horizontal="center" vertical="center"/>
    </xf>
    <xf numFmtId="0" fontId="3" fillId="0" borderId="71" xfId="0" applyFont="1" applyFill="1" applyBorder="1" applyAlignment="1" applyProtection="1">
      <alignment horizontal="left" vertical="center" wrapText="1"/>
    </xf>
    <xf numFmtId="0" fontId="11" fillId="0" borderId="6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61" xfId="0" applyFont="1" applyBorder="1" applyAlignment="1">
      <alignment horizontal="center" vertical="center"/>
    </xf>
    <xf numFmtId="166" fontId="3" fillId="0" borderId="6" xfId="0" applyNumberFormat="1" applyFont="1" applyBorder="1" applyAlignment="1">
      <alignment horizontal="center" vertical="center" wrapText="1"/>
    </xf>
    <xf numFmtId="166" fontId="3" fillId="0" borderId="8" xfId="0" applyNumberFormat="1" applyFont="1" applyBorder="1" applyAlignment="1">
      <alignment horizontal="center" vertical="center" wrapText="1"/>
    </xf>
    <xf numFmtId="166" fontId="3" fillId="0" borderId="11" xfId="0" applyNumberFormat="1" applyFont="1" applyBorder="1" applyAlignment="1">
      <alignment horizontal="center" vertical="center" wrapText="1"/>
    </xf>
    <xf numFmtId="166" fontId="3" fillId="0" borderId="15" xfId="0" applyNumberFormat="1" applyFont="1" applyBorder="1" applyAlignment="1">
      <alignment horizontal="center" vertical="center" wrapText="1"/>
    </xf>
    <xf numFmtId="166" fontId="3" fillId="0" borderId="61" xfId="0" applyNumberFormat="1" applyFont="1" applyBorder="1" applyAlignment="1">
      <alignment horizontal="center" vertical="center" wrapText="1"/>
    </xf>
    <xf numFmtId="166" fontId="3" fillId="0" borderId="71" xfId="0" applyNumberFormat="1" applyFont="1" applyBorder="1" applyAlignment="1">
      <alignment horizontal="center" vertical="center" wrapText="1"/>
    </xf>
    <xf numFmtId="0" fontId="11" fillId="0" borderId="71" xfId="0" applyFont="1" applyBorder="1" applyAlignment="1">
      <alignment horizontal="center" vertical="center"/>
    </xf>
    <xf numFmtId="0" fontId="12" fillId="0" borderId="0" xfId="0" applyFont="1"/>
    <xf numFmtId="0" fontId="3" fillId="0" borderId="2" xfId="0" applyFont="1" applyFill="1" applyBorder="1" applyAlignment="1">
      <alignment horizontal="center" vertical="center" wrapText="1"/>
    </xf>
    <xf numFmtId="3" fontId="0" fillId="0" borderId="0" xfId="0" applyNumberFormat="1"/>
    <xf numFmtId="0" fontId="0" fillId="0" borderId="0" xfId="0"/>
    <xf numFmtId="0" fontId="3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3" fillId="0" borderId="0" xfId="0" applyFont="1" applyFill="1"/>
    <xf numFmtId="0" fontId="2" fillId="0" borderId="0" xfId="0" applyFont="1" applyFill="1"/>
    <xf numFmtId="0" fontId="3" fillId="0" borderId="2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2" fillId="0" borderId="74" xfId="0" applyFont="1" applyFill="1" applyBorder="1" applyAlignment="1">
      <alignment horizontal="left"/>
    </xf>
    <xf numFmtId="0" fontId="2" fillId="0" borderId="35" xfId="0" applyFont="1" applyFill="1" applyBorder="1" applyAlignment="1">
      <alignment horizontal="left"/>
    </xf>
    <xf numFmtId="0" fontId="2" fillId="0" borderId="7" xfId="0" applyFont="1" applyFill="1" applyBorder="1" applyAlignment="1">
      <alignment horizontal="left"/>
    </xf>
    <xf numFmtId="0" fontId="3" fillId="0" borderId="35" xfId="0" applyFont="1" applyFill="1" applyBorder="1" applyAlignment="1">
      <alignment horizontal="center"/>
    </xf>
    <xf numFmtId="0" fontId="2" fillId="0" borderId="36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3" fillId="0" borderId="59" xfId="0" applyFont="1" applyFill="1" applyBorder="1" applyAlignment="1">
      <alignment horizontal="center"/>
    </xf>
    <xf numFmtId="0" fontId="2" fillId="0" borderId="59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2" fillId="0" borderId="35" xfId="0" applyFont="1" applyFill="1" applyBorder="1" applyAlignment="1">
      <alignment horizontal="center"/>
    </xf>
    <xf numFmtId="0" fontId="2" fillId="0" borderId="34" xfId="0" applyFont="1" applyFill="1" applyBorder="1" applyAlignment="1">
      <alignment horizontal="center"/>
    </xf>
    <xf numFmtId="0" fontId="3" fillId="0" borderId="41" xfId="0" applyFont="1" applyFill="1" applyBorder="1" applyAlignment="1">
      <alignment horizontal="center"/>
    </xf>
    <xf numFmtId="3" fontId="2" fillId="0" borderId="35" xfId="0" applyNumberFormat="1" applyFont="1" applyFill="1" applyBorder="1" applyAlignment="1">
      <alignment horizontal="center"/>
    </xf>
    <xf numFmtId="3" fontId="3" fillId="0" borderId="35" xfId="0" applyNumberFormat="1" applyFont="1" applyFill="1" applyBorder="1" applyAlignment="1">
      <alignment horizontal="center"/>
    </xf>
    <xf numFmtId="3" fontId="2" fillId="0" borderId="36" xfId="0" applyNumberFormat="1" applyFont="1" applyFill="1" applyBorder="1" applyAlignment="1">
      <alignment horizontal="center"/>
    </xf>
    <xf numFmtId="0" fontId="2" fillId="0" borderId="5" xfId="0" applyFont="1" applyFill="1" applyBorder="1" applyAlignment="1">
      <alignment horizontal="left"/>
    </xf>
    <xf numFmtId="0" fontId="2" fillId="0" borderId="2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 wrapText="1"/>
    </xf>
    <xf numFmtId="0" fontId="2" fillId="0" borderId="14" xfId="0" applyFont="1" applyFill="1" applyBorder="1" applyAlignment="1">
      <alignment horizontal="center"/>
    </xf>
    <xf numFmtId="0" fontId="3" fillId="0" borderId="16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3" fontId="2" fillId="0" borderId="2" xfId="0" applyNumberFormat="1" applyFont="1" applyFill="1" applyBorder="1" applyAlignment="1">
      <alignment horizontal="center"/>
    </xf>
    <xf numFmtId="3" fontId="3" fillId="0" borderId="2" xfId="0" applyNumberFormat="1" applyFont="1" applyFill="1" applyBorder="1" applyAlignment="1">
      <alignment horizontal="center"/>
    </xf>
    <xf numFmtId="3" fontId="2" fillId="0" borderId="14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left"/>
    </xf>
    <xf numFmtId="0" fontId="3" fillId="0" borderId="33" xfId="0" applyFont="1" applyFill="1" applyBorder="1" applyAlignment="1">
      <alignment horizontal="center"/>
    </xf>
    <xf numFmtId="3" fontId="2" fillId="0" borderId="18" xfId="0" applyNumberFormat="1" applyFont="1" applyFill="1" applyBorder="1" applyAlignment="1">
      <alignment horizontal="center"/>
    </xf>
    <xf numFmtId="3" fontId="3" fillId="0" borderId="18" xfId="0" applyNumberFormat="1" applyFont="1" applyFill="1" applyBorder="1" applyAlignment="1">
      <alignment horizontal="center"/>
    </xf>
    <xf numFmtId="3" fontId="2" fillId="0" borderId="20" xfId="0" applyNumberFormat="1" applyFont="1" applyFill="1" applyBorder="1" applyAlignment="1">
      <alignment horizontal="center"/>
    </xf>
    <xf numFmtId="0" fontId="3" fillId="0" borderId="32" xfId="0" applyFont="1" applyFill="1" applyBorder="1" applyAlignment="1">
      <alignment horizontal="left"/>
    </xf>
    <xf numFmtId="0" fontId="2" fillId="0" borderId="9" xfId="0" applyFont="1" applyFill="1" applyBorder="1" applyAlignment="1">
      <alignment horizontal="left"/>
    </xf>
    <xf numFmtId="0" fontId="3" fillId="0" borderId="4" xfId="0" applyFont="1" applyFill="1" applyBorder="1" applyAlignment="1">
      <alignment horizontal="left" wrapText="1"/>
    </xf>
    <xf numFmtId="3" fontId="3" fillId="0" borderId="4" xfId="0" applyNumberFormat="1" applyFont="1" applyFill="1" applyBorder="1" applyAlignment="1">
      <alignment horizontal="center"/>
    </xf>
    <xf numFmtId="3" fontId="2" fillId="0" borderId="29" xfId="0" applyNumberFormat="1" applyFont="1" applyFill="1" applyBorder="1" applyAlignment="1">
      <alignment horizontal="center"/>
    </xf>
    <xf numFmtId="3" fontId="2" fillId="0" borderId="28" xfId="0" applyNumberFormat="1" applyFont="1" applyFill="1" applyBorder="1" applyAlignment="1">
      <alignment horizontal="center"/>
    </xf>
    <xf numFmtId="3" fontId="3" fillId="0" borderId="23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3" fontId="3" fillId="0" borderId="17" xfId="0" applyNumberFormat="1" applyFont="1" applyFill="1" applyBorder="1" applyAlignment="1">
      <alignment horizontal="center"/>
    </xf>
    <xf numFmtId="3" fontId="3" fillId="0" borderId="25" xfId="0" applyNumberFormat="1" applyFont="1" applyFill="1" applyBorder="1" applyAlignment="1">
      <alignment horizontal="center"/>
    </xf>
    <xf numFmtId="3" fontId="2" fillId="0" borderId="25" xfId="0" applyNumberFormat="1" applyFont="1" applyFill="1" applyBorder="1" applyAlignment="1">
      <alignment horizontal="center"/>
    </xf>
    <xf numFmtId="3" fontId="2" fillId="0" borderId="31" xfId="0" applyNumberFormat="1" applyFont="1" applyFill="1" applyBorder="1" applyAlignment="1">
      <alignment horizontal="center"/>
    </xf>
    <xf numFmtId="3" fontId="2" fillId="0" borderId="23" xfId="0" applyNumberFormat="1" applyFont="1" applyFill="1" applyBorder="1" applyAlignment="1">
      <alignment horizontal="center"/>
    </xf>
    <xf numFmtId="3" fontId="3" fillId="0" borderId="28" xfId="0" applyNumberFormat="1" applyFont="1" applyFill="1" applyBorder="1" applyAlignment="1">
      <alignment horizontal="center"/>
    </xf>
    <xf numFmtId="3" fontId="2" fillId="0" borderId="30" xfId="0" applyNumberFormat="1" applyFont="1" applyFill="1" applyBorder="1" applyAlignment="1">
      <alignment horizontal="center"/>
    </xf>
    <xf numFmtId="3" fontId="2" fillId="0" borderId="27" xfId="0" applyNumberFormat="1" applyFont="1" applyFill="1" applyBorder="1" applyAlignment="1">
      <alignment horizontal="center"/>
    </xf>
    <xf numFmtId="0" fontId="3" fillId="0" borderId="17" xfId="0" applyFont="1" applyFill="1" applyBorder="1" applyAlignment="1">
      <alignment horizontal="left"/>
    </xf>
    <xf numFmtId="0" fontId="3" fillId="0" borderId="9" xfId="0" applyFont="1" applyFill="1" applyBorder="1" applyAlignment="1">
      <alignment horizontal="left" wrapText="1"/>
    </xf>
    <xf numFmtId="3" fontId="3" fillId="0" borderId="9" xfId="0" applyNumberFormat="1" applyFont="1" applyFill="1" applyBorder="1" applyAlignment="1">
      <alignment horizontal="center" wrapText="1"/>
    </xf>
    <xf numFmtId="3" fontId="3" fillId="0" borderId="27" xfId="0" applyNumberFormat="1" applyFont="1" applyFill="1" applyBorder="1" applyAlignment="1">
      <alignment horizontal="center" wrapText="1"/>
    </xf>
    <xf numFmtId="3" fontId="3" fillId="0" borderId="25" xfId="0" applyNumberFormat="1" applyFont="1" applyFill="1" applyBorder="1" applyAlignment="1">
      <alignment horizontal="center" wrapText="1"/>
    </xf>
    <xf numFmtId="3" fontId="3" fillId="0" borderId="9" xfId="0" applyNumberFormat="1" applyFont="1" applyFill="1" applyBorder="1" applyAlignment="1">
      <alignment horizontal="center"/>
    </xf>
    <xf numFmtId="3" fontId="3" fillId="0" borderId="24" xfId="0" applyNumberFormat="1" applyFont="1" applyFill="1" applyBorder="1" applyAlignment="1">
      <alignment horizontal="center"/>
    </xf>
    <xf numFmtId="3" fontId="3" fillId="0" borderId="31" xfId="0" applyNumberFormat="1" applyFont="1" applyFill="1" applyBorder="1" applyAlignment="1">
      <alignment horizontal="center"/>
    </xf>
    <xf numFmtId="3" fontId="3" fillId="0" borderId="27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2" fillId="0" borderId="3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3" fillId="0" borderId="26" xfId="0" applyFont="1" applyFill="1" applyBorder="1" applyAlignment="1">
      <alignment horizontal="center"/>
    </xf>
    <xf numFmtId="0" fontId="2" fillId="0" borderId="26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3" fillId="0" borderId="32" xfId="0" applyFont="1" applyFill="1" applyBorder="1" applyAlignment="1">
      <alignment horizontal="center"/>
    </xf>
    <xf numFmtId="0" fontId="2" fillId="0" borderId="37" xfId="0" applyFont="1" applyFill="1" applyBorder="1"/>
    <xf numFmtId="3" fontId="3" fillId="0" borderId="1" xfId="0" applyNumberFormat="1" applyFont="1" applyFill="1" applyBorder="1" applyAlignment="1">
      <alignment horizontal="center"/>
    </xf>
    <xf numFmtId="3" fontId="2" fillId="0" borderId="12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3" fillId="0" borderId="7" xfId="0" applyNumberFormat="1" applyFont="1" applyFill="1" applyBorder="1" applyAlignment="1">
      <alignment horizontal="center"/>
    </xf>
    <xf numFmtId="3" fontId="2" fillId="0" borderId="34" xfId="0" applyNumberFormat="1" applyFont="1" applyFill="1" applyBorder="1" applyAlignment="1">
      <alignment horizontal="center"/>
    </xf>
    <xf numFmtId="0" fontId="3" fillId="0" borderId="38" xfId="0" applyFont="1" applyFill="1" applyBorder="1" applyAlignment="1">
      <alignment horizontal="center"/>
    </xf>
    <xf numFmtId="0" fontId="3" fillId="0" borderId="39" xfId="0" applyFont="1" applyFill="1" applyBorder="1" applyAlignment="1">
      <alignment horizontal="center"/>
    </xf>
    <xf numFmtId="3" fontId="2" fillId="0" borderId="7" xfId="0" applyNumberFormat="1" applyFont="1" applyFill="1" applyBorder="1" applyAlignment="1">
      <alignment horizontal="center"/>
    </xf>
    <xf numFmtId="0" fontId="3" fillId="0" borderId="40" xfId="0" applyFont="1" applyFill="1" applyBorder="1" applyAlignment="1">
      <alignment horizontal="center"/>
    </xf>
    <xf numFmtId="3" fontId="3" fillId="0" borderId="32" xfId="0" applyNumberFormat="1" applyFont="1" applyFill="1" applyBorder="1" applyAlignment="1">
      <alignment horizontal="center"/>
    </xf>
    <xf numFmtId="0" fontId="3" fillId="0" borderId="22" xfId="0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0" fontId="3" fillId="0" borderId="47" xfId="0" applyFont="1" applyFill="1" applyBorder="1" applyAlignment="1">
      <alignment horizontal="center"/>
    </xf>
    <xf numFmtId="3" fontId="2" fillId="0" borderId="22" xfId="0" applyNumberFormat="1" applyFont="1" applyFill="1" applyBorder="1" applyAlignment="1">
      <alignment horizontal="center"/>
    </xf>
    <xf numFmtId="3" fontId="3" fillId="0" borderId="5" xfId="0" applyNumberFormat="1" applyFont="1" applyFill="1" applyBorder="1" applyAlignment="1">
      <alignment horizontal="center"/>
    </xf>
    <xf numFmtId="0" fontId="2" fillId="0" borderId="4" xfId="0" applyFont="1" applyFill="1" applyBorder="1" applyAlignment="1">
      <alignment horizontal="left"/>
    </xf>
    <xf numFmtId="165" fontId="3" fillId="0" borderId="4" xfId="0" applyNumberFormat="1" applyFont="1" applyFill="1" applyBorder="1" applyAlignment="1">
      <alignment horizontal="center"/>
    </xf>
    <xf numFmtId="3" fontId="3" fillId="0" borderId="29" xfId="0" applyNumberFormat="1" applyFont="1" applyFill="1" applyBorder="1" applyAlignment="1">
      <alignment horizontal="center"/>
    </xf>
    <xf numFmtId="3" fontId="3" fillId="0" borderId="23" xfId="0" applyNumberFormat="1" applyFont="1" applyFill="1" applyBorder="1" applyAlignment="1">
      <alignment horizontal="center" wrapText="1"/>
    </xf>
    <xf numFmtId="3" fontId="3" fillId="0" borderId="4" xfId="0" applyNumberFormat="1" applyFont="1" applyFill="1" applyBorder="1" applyAlignment="1">
      <alignment horizontal="center" wrapText="1"/>
    </xf>
    <xf numFmtId="3" fontId="3" fillId="0" borderId="30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left" vertical="center"/>
    </xf>
    <xf numFmtId="3" fontId="3" fillId="0" borderId="2" xfId="0" applyNumberFormat="1" applyFont="1" applyFill="1" applyBorder="1" applyAlignment="1">
      <alignment horizontal="center" vertical="center"/>
    </xf>
    <xf numFmtId="3" fontId="2" fillId="0" borderId="14" xfId="0" applyNumberFormat="1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3" fillId="0" borderId="54" xfId="0" applyFont="1" applyFill="1" applyBorder="1" applyAlignment="1">
      <alignment vertical="center"/>
    </xf>
    <xf numFmtId="0" fontId="3" fillId="0" borderId="56" xfId="0" applyFont="1" applyFill="1" applyBorder="1" applyAlignment="1">
      <alignment vertical="center"/>
    </xf>
    <xf numFmtId="0" fontId="3" fillId="0" borderId="22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3" fillId="0" borderId="47" xfId="0" applyFont="1" applyFill="1" applyBorder="1" applyAlignment="1">
      <alignment horizontal="center" vertical="center"/>
    </xf>
    <xf numFmtId="3" fontId="2" fillId="0" borderId="22" xfId="0" applyNumberFormat="1" applyFont="1" applyFill="1" applyBorder="1" applyAlignment="1">
      <alignment horizontal="center" vertical="center"/>
    </xf>
    <xf numFmtId="3" fontId="2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22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 wrapText="1"/>
    </xf>
    <xf numFmtId="0" fontId="3" fillId="0" borderId="48" xfId="0" applyFont="1" applyFill="1" applyBorder="1" applyAlignment="1">
      <alignment vertical="center"/>
    </xf>
    <xf numFmtId="0" fontId="3" fillId="0" borderId="50" xfId="0" applyFont="1" applyFill="1" applyBorder="1" applyAlignment="1">
      <alignment vertical="center"/>
    </xf>
    <xf numFmtId="3" fontId="3" fillId="0" borderId="5" xfId="0" applyNumberFormat="1" applyFont="1" applyFill="1" applyBorder="1" applyAlignment="1">
      <alignment horizontal="center" vertical="center"/>
    </xf>
    <xf numFmtId="3" fontId="3" fillId="0" borderId="7" xfId="0" applyNumberFormat="1" applyFont="1" applyFill="1" applyBorder="1" applyAlignment="1">
      <alignment horizontal="center" vertical="center"/>
    </xf>
    <xf numFmtId="3" fontId="2" fillId="0" borderId="34" xfId="0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3" fontId="2" fillId="0" borderId="18" xfId="0" applyNumberFormat="1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 wrapText="1"/>
    </xf>
    <xf numFmtId="3" fontId="3" fillId="0" borderId="1" xfId="0" applyNumberFormat="1" applyFont="1" applyFill="1" applyBorder="1" applyAlignment="1">
      <alignment horizontal="center" vertical="center"/>
    </xf>
    <xf numFmtId="3" fontId="2" fillId="0" borderId="12" xfId="0" applyNumberFormat="1" applyFont="1" applyFill="1" applyBorder="1" applyAlignment="1">
      <alignment horizontal="center" vertical="center"/>
    </xf>
    <xf numFmtId="3" fontId="2" fillId="0" borderId="28" xfId="0" applyNumberFormat="1" applyFont="1" applyFill="1" applyBorder="1" applyAlignment="1">
      <alignment horizontal="center" vertical="center"/>
    </xf>
    <xf numFmtId="3" fontId="3" fillId="0" borderId="23" xfId="0" applyNumberFormat="1" applyFont="1" applyFill="1" applyBorder="1" applyAlignment="1">
      <alignment horizontal="center" vertical="center"/>
    </xf>
    <xf numFmtId="3" fontId="2" fillId="0" borderId="4" xfId="0" applyNumberFormat="1" applyFont="1" applyFill="1" applyBorder="1" applyAlignment="1">
      <alignment horizontal="center" vertical="center"/>
    </xf>
    <xf numFmtId="3" fontId="3" fillId="0" borderId="4" xfId="0" applyNumberFormat="1" applyFont="1" applyFill="1" applyBorder="1" applyAlignment="1">
      <alignment horizontal="center" vertical="center"/>
    </xf>
    <xf numFmtId="3" fontId="2" fillId="0" borderId="29" xfId="0" applyNumberFormat="1" applyFont="1" applyFill="1" applyBorder="1" applyAlignment="1">
      <alignment horizontal="center" vertical="center"/>
    </xf>
    <xf numFmtId="3" fontId="3" fillId="0" borderId="17" xfId="0" applyNumberFormat="1" applyFont="1" applyFill="1" applyBorder="1" applyAlignment="1">
      <alignment horizontal="center" vertical="center"/>
    </xf>
    <xf numFmtId="3" fontId="2" fillId="0" borderId="25" xfId="0" applyNumberFormat="1" applyFont="1" applyFill="1" applyBorder="1" applyAlignment="1">
      <alignment horizontal="center" vertical="center"/>
    </xf>
    <xf numFmtId="3" fontId="3" fillId="0" borderId="25" xfId="0" applyNumberFormat="1" applyFont="1" applyFill="1" applyBorder="1" applyAlignment="1">
      <alignment horizontal="center" vertical="center"/>
    </xf>
    <xf numFmtId="3" fontId="2" fillId="0" borderId="31" xfId="0" applyNumberFormat="1" applyFont="1" applyFill="1" applyBorder="1" applyAlignment="1">
      <alignment horizontal="center" vertical="center"/>
    </xf>
    <xf numFmtId="3" fontId="2" fillId="0" borderId="23" xfId="0" applyNumberFormat="1" applyFont="1" applyFill="1" applyBorder="1" applyAlignment="1">
      <alignment horizontal="center" vertical="center"/>
    </xf>
    <xf numFmtId="3" fontId="3" fillId="0" borderId="28" xfId="0" applyNumberFormat="1" applyFont="1" applyFill="1" applyBorder="1" applyAlignment="1">
      <alignment horizontal="center" vertical="center"/>
    </xf>
    <xf numFmtId="3" fontId="2" fillId="0" borderId="30" xfId="0" applyNumberFormat="1" applyFont="1" applyFill="1" applyBorder="1" applyAlignment="1">
      <alignment horizontal="center" vertical="center"/>
    </xf>
    <xf numFmtId="3" fontId="3" fillId="0" borderId="32" xfId="0" applyNumberFormat="1" applyFont="1" applyFill="1" applyBorder="1" applyAlignment="1">
      <alignment horizontal="center" vertical="center"/>
    </xf>
    <xf numFmtId="3" fontId="2" fillId="0" borderId="27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/>
    </xf>
    <xf numFmtId="165" fontId="3" fillId="0" borderId="4" xfId="0" applyNumberFormat="1" applyFont="1" applyFill="1" applyBorder="1" applyAlignment="1">
      <alignment horizontal="center" vertical="center"/>
    </xf>
    <xf numFmtId="3" fontId="3" fillId="0" borderId="29" xfId="0" applyNumberFormat="1" applyFont="1" applyFill="1" applyBorder="1" applyAlignment="1">
      <alignment horizontal="center" vertical="center"/>
    </xf>
    <xf numFmtId="3" fontId="3" fillId="0" borderId="23" xfId="0" applyNumberFormat="1" applyFont="1" applyFill="1" applyBorder="1" applyAlignment="1">
      <alignment horizontal="center" vertical="center" wrapTex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78" xfId="0" applyFont="1" applyFill="1" applyBorder="1" applyAlignment="1">
      <alignment vertical="center"/>
    </xf>
    <xf numFmtId="0" fontId="3" fillId="0" borderId="79" xfId="0" applyFont="1" applyFill="1" applyBorder="1" applyAlignment="1">
      <alignment vertical="center"/>
    </xf>
    <xf numFmtId="3" fontId="3" fillId="0" borderId="30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 wrapText="1"/>
    </xf>
    <xf numFmtId="165" fontId="3" fillId="0" borderId="2" xfId="0" applyNumberFormat="1" applyFont="1" applyFill="1" applyBorder="1" applyAlignment="1">
      <alignment horizontal="center" vertical="center"/>
    </xf>
    <xf numFmtId="3" fontId="3" fillId="0" borderId="2" xfId="0" applyNumberFormat="1" applyFont="1" applyFill="1" applyBorder="1" applyAlignment="1">
      <alignment horizontal="center" vertical="center" wrapText="1"/>
    </xf>
    <xf numFmtId="166" fontId="2" fillId="0" borderId="2" xfId="0" applyNumberFormat="1" applyFont="1" applyFill="1" applyBorder="1" applyAlignment="1">
      <alignment horizontal="center" vertical="center"/>
    </xf>
    <xf numFmtId="3" fontId="2" fillId="0" borderId="13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center" vertical="center"/>
    </xf>
    <xf numFmtId="164" fontId="2" fillId="0" borderId="13" xfId="0" applyNumberFormat="1" applyFont="1" applyFill="1" applyBorder="1" applyAlignment="1">
      <alignment horizontal="center" vertical="center"/>
    </xf>
    <xf numFmtId="166" fontId="2" fillId="0" borderId="13" xfId="0" applyNumberFormat="1" applyFont="1" applyFill="1" applyBorder="1" applyAlignment="1">
      <alignment horizontal="center" vertical="center"/>
    </xf>
    <xf numFmtId="3" fontId="3" fillId="0" borderId="13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horizontal="left"/>
    </xf>
    <xf numFmtId="3" fontId="2" fillId="0" borderId="0" xfId="0" applyNumberFormat="1" applyFont="1" applyFill="1" applyAlignment="1">
      <alignment horizontal="center"/>
    </xf>
    <xf numFmtId="0" fontId="2" fillId="0" borderId="74" xfId="0" applyFont="1" applyFill="1" applyBorder="1"/>
    <xf numFmtId="0" fontId="2" fillId="0" borderId="7" xfId="0" applyFont="1" applyFill="1" applyBorder="1"/>
    <xf numFmtId="0" fontId="2" fillId="0" borderId="58" xfId="0" applyFont="1" applyFill="1" applyBorder="1" applyAlignment="1">
      <alignment horizontal="center"/>
    </xf>
    <xf numFmtId="0" fontId="2" fillId="0" borderId="5" xfId="0" applyFont="1" applyFill="1" applyBorder="1"/>
    <xf numFmtId="0" fontId="2" fillId="0" borderId="2" xfId="0" applyFont="1" applyFill="1" applyBorder="1" applyAlignment="1">
      <alignment wrapText="1"/>
    </xf>
    <xf numFmtId="0" fontId="2" fillId="0" borderId="13" xfId="0" applyFont="1" applyFill="1" applyBorder="1" applyAlignment="1">
      <alignment horizontal="center"/>
    </xf>
    <xf numFmtId="0" fontId="2" fillId="0" borderId="6" xfId="0" applyFont="1" applyFill="1" applyBorder="1"/>
    <xf numFmtId="0" fontId="2" fillId="0" borderId="8" xfId="0" applyFont="1" applyFill="1" applyBorder="1"/>
    <xf numFmtId="0" fontId="3" fillId="0" borderId="8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3" fillId="0" borderId="6" xfId="0" applyFont="1" applyFill="1" applyBorder="1"/>
    <xf numFmtId="0" fontId="3" fillId="0" borderId="8" xfId="0" applyFont="1" applyFill="1" applyBorder="1" applyAlignment="1">
      <alignment wrapText="1"/>
    </xf>
    <xf numFmtId="3" fontId="3" fillId="0" borderId="8" xfId="0" applyNumberFormat="1" applyFont="1" applyFill="1" applyBorder="1" applyAlignment="1">
      <alignment horizontal="center"/>
    </xf>
    <xf numFmtId="3" fontId="2" fillId="0" borderId="8" xfId="0" applyNumberFormat="1" applyFont="1" applyFill="1" applyBorder="1" applyAlignment="1">
      <alignment horizontal="center"/>
    </xf>
    <xf numFmtId="3" fontId="2" fillId="0" borderId="11" xfId="0" applyNumberFormat="1" applyFont="1" applyFill="1" applyBorder="1" applyAlignment="1">
      <alignment horizontal="center"/>
    </xf>
    <xf numFmtId="3" fontId="2" fillId="0" borderId="15" xfId="0" applyNumberFormat="1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/>
    </xf>
    <xf numFmtId="0" fontId="2" fillId="0" borderId="3" xfId="0" applyFont="1" applyFill="1" applyBorder="1"/>
    <xf numFmtId="0" fontId="2" fillId="0" borderId="1" xfId="0" applyFont="1" applyFill="1" applyBorder="1"/>
    <xf numFmtId="0" fontId="2" fillId="0" borderId="10" xfId="0" applyFont="1" applyFill="1" applyBorder="1" applyAlignment="1">
      <alignment horizontal="center"/>
    </xf>
    <xf numFmtId="0" fontId="3" fillId="0" borderId="47" xfId="0" applyFont="1" applyFill="1" applyBorder="1"/>
    <xf numFmtId="0" fontId="3" fillId="0" borderId="22" xfId="0" applyFont="1" applyFill="1" applyBorder="1" applyAlignment="1">
      <alignment wrapText="1"/>
    </xf>
    <xf numFmtId="3" fontId="3" fillId="0" borderId="22" xfId="0" applyNumberFormat="1" applyFont="1" applyFill="1" applyBorder="1" applyAlignment="1">
      <alignment horizontal="center"/>
    </xf>
    <xf numFmtId="0" fontId="3" fillId="0" borderId="43" xfId="0" applyFont="1" applyFill="1" applyBorder="1" applyAlignment="1">
      <alignment horizontal="center"/>
    </xf>
    <xf numFmtId="0" fontId="3" fillId="0" borderId="46" xfId="0" applyFont="1" applyFill="1" applyBorder="1" applyAlignment="1">
      <alignment horizontal="center"/>
    </xf>
    <xf numFmtId="0" fontId="2" fillId="0" borderId="2" xfId="0" applyFont="1" applyFill="1" applyBorder="1"/>
    <xf numFmtId="0" fontId="7" fillId="0" borderId="0" xfId="0" applyFont="1" applyFill="1"/>
    <xf numFmtId="0" fontId="2" fillId="0" borderId="2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 wrapText="1"/>
    </xf>
    <xf numFmtId="0" fontId="2" fillId="0" borderId="34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35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vertical="center"/>
    </xf>
    <xf numFmtId="0" fontId="3" fillId="0" borderId="8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vertical="center"/>
    </xf>
    <xf numFmtId="0" fontId="2" fillId="0" borderId="9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vertical="center" wrapText="1"/>
    </xf>
    <xf numFmtId="3" fontId="3" fillId="0" borderId="8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3" fontId="2" fillId="0" borderId="8" xfId="0" applyNumberFormat="1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3" fontId="2" fillId="0" borderId="11" xfId="0" applyNumberFormat="1" applyFont="1" applyFill="1" applyBorder="1" applyAlignment="1">
      <alignment horizontal="center" vertical="center"/>
    </xf>
    <xf numFmtId="0" fontId="3" fillId="0" borderId="47" xfId="0" applyFont="1" applyFill="1" applyBorder="1" applyAlignment="1">
      <alignment vertical="center"/>
    </xf>
    <xf numFmtId="0" fontId="3" fillId="0" borderId="22" xfId="0" applyFont="1" applyFill="1" applyBorder="1" applyAlignment="1">
      <alignment vertical="center" wrapText="1"/>
    </xf>
    <xf numFmtId="3" fontId="3" fillId="0" borderId="22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3" xfId="0" applyFont="1" applyFill="1" applyBorder="1" applyAlignment="1">
      <alignment horizontal="center" vertical="center"/>
    </xf>
    <xf numFmtId="0" fontId="3" fillId="0" borderId="46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 wrapText="1"/>
    </xf>
    <xf numFmtId="3" fontId="3" fillId="0" borderId="16" xfId="0" applyNumberFormat="1" applyFont="1" applyFill="1" applyBorder="1" applyAlignment="1">
      <alignment horizontal="center" vertical="center"/>
    </xf>
    <xf numFmtId="3" fontId="2" fillId="0" borderId="16" xfId="0" applyNumberFormat="1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3" fontId="3" fillId="0" borderId="0" xfId="0" applyNumberFormat="1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166" fontId="3" fillId="0" borderId="2" xfId="0" applyNumberFormat="1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3" fontId="3" fillId="0" borderId="16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/>
    </xf>
    <xf numFmtId="0" fontId="2" fillId="0" borderId="67" xfId="0" applyFont="1" applyFill="1" applyBorder="1" applyAlignment="1">
      <alignment horizontal="center"/>
    </xf>
    <xf numFmtId="0" fontId="2" fillId="0" borderId="44" xfId="0" applyFont="1" applyFill="1" applyBorder="1" applyAlignment="1">
      <alignment horizontal="center"/>
    </xf>
    <xf numFmtId="0" fontId="2" fillId="0" borderId="80" xfId="0" applyFont="1" applyFill="1" applyBorder="1" applyAlignment="1">
      <alignment horizontal="center"/>
    </xf>
    <xf numFmtId="3" fontId="3" fillId="0" borderId="31" xfId="0" applyNumberFormat="1" applyFont="1" applyFill="1" applyBorder="1" applyAlignment="1">
      <alignment horizontal="center" wrapText="1"/>
    </xf>
    <xf numFmtId="0" fontId="2" fillId="0" borderId="81" xfId="0" applyFont="1" applyFill="1" applyBorder="1" applyAlignment="1">
      <alignment horizontal="center"/>
    </xf>
    <xf numFmtId="3" fontId="2" fillId="0" borderId="81" xfId="0" applyNumberFormat="1" applyFont="1" applyFill="1" applyBorder="1" applyAlignment="1">
      <alignment horizontal="center"/>
    </xf>
    <xf numFmtId="3" fontId="2" fillId="0" borderId="44" xfId="0" applyNumberFormat="1" applyFont="1" applyFill="1" applyBorder="1" applyAlignment="1">
      <alignment horizontal="center"/>
    </xf>
    <xf numFmtId="3" fontId="2" fillId="0" borderId="80" xfId="0" applyNumberFormat="1" applyFont="1" applyFill="1" applyBorder="1" applyAlignment="1">
      <alignment horizontal="center"/>
    </xf>
    <xf numFmtId="3" fontId="2" fillId="0" borderId="44" xfId="0" applyNumberFormat="1" applyFont="1" applyFill="1" applyBorder="1" applyAlignment="1">
      <alignment horizontal="center" vertical="center"/>
    </xf>
    <xf numFmtId="3" fontId="2" fillId="0" borderId="80" xfId="0" applyNumberFormat="1" applyFont="1" applyFill="1" applyBorder="1" applyAlignment="1">
      <alignment horizontal="center" vertical="center"/>
    </xf>
    <xf numFmtId="3" fontId="3" fillId="0" borderId="14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3" fillId="0" borderId="77" xfId="0" applyFont="1" applyFill="1" applyBorder="1" applyAlignment="1">
      <alignment horizontal="center" vertical="center"/>
    </xf>
    <xf numFmtId="0" fontId="3" fillId="0" borderId="54" xfId="0" applyFont="1" applyFill="1" applyBorder="1" applyAlignment="1">
      <alignment horizontal="center" vertical="center"/>
    </xf>
    <xf numFmtId="0" fontId="3" fillId="0" borderId="55" xfId="0" applyFont="1" applyFill="1" applyBorder="1" applyAlignment="1">
      <alignment horizontal="center" vertical="center"/>
    </xf>
    <xf numFmtId="0" fontId="3" fillId="0" borderId="56" xfId="0" applyFont="1" applyFill="1" applyBorder="1" applyAlignment="1">
      <alignment horizontal="center" vertical="center"/>
    </xf>
    <xf numFmtId="0" fontId="3" fillId="0" borderId="48" xfId="0" applyFont="1" applyFill="1" applyBorder="1" applyAlignment="1">
      <alignment horizontal="center" vertical="center"/>
    </xf>
    <xf numFmtId="0" fontId="3" fillId="0" borderId="49" xfId="0" applyFont="1" applyFill="1" applyBorder="1" applyAlignment="1">
      <alignment horizontal="center" vertical="center"/>
    </xf>
    <xf numFmtId="0" fontId="3" fillId="0" borderId="50" xfId="0" applyFont="1" applyFill="1" applyBorder="1" applyAlignment="1">
      <alignment horizontal="center" vertical="center"/>
    </xf>
    <xf numFmtId="0" fontId="3" fillId="0" borderId="51" xfId="0" applyFont="1" applyFill="1" applyBorder="1" applyAlignment="1">
      <alignment horizontal="center" vertical="center"/>
    </xf>
    <xf numFmtId="0" fontId="3" fillId="0" borderId="52" xfId="0" applyFont="1" applyFill="1" applyBorder="1" applyAlignment="1">
      <alignment horizontal="center" vertical="center"/>
    </xf>
    <xf numFmtId="0" fontId="3" fillId="0" borderId="53" xfId="0" applyFont="1" applyFill="1" applyBorder="1" applyAlignment="1">
      <alignment horizontal="center" vertical="center"/>
    </xf>
    <xf numFmtId="0" fontId="3" fillId="0" borderId="54" xfId="0" applyFont="1" applyFill="1" applyBorder="1" applyAlignment="1">
      <alignment horizontal="center"/>
    </xf>
    <xf numFmtId="0" fontId="3" fillId="0" borderId="55" xfId="0" applyFont="1" applyFill="1" applyBorder="1" applyAlignment="1">
      <alignment horizontal="center"/>
    </xf>
    <xf numFmtId="0" fontId="3" fillId="0" borderId="56" xfId="0" applyFont="1" applyFill="1" applyBorder="1" applyAlignment="1">
      <alignment horizontal="center"/>
    </xf>
    <xf numFmtId="0" fontId="3" fillId="0" borderId="48" xfId="0" applyFont="1" applyFill="1" applyBorder="1" applyAlignment="1">
      <alignment horizontal="center"/>
    </xf>
    <xf numFmtId="0" fontId="3" fillId="0" borderId="49" xfId="0" applyFont="1" applyFill="1" applyBorder="1" applyAlignment="1">
      <alignment horizontal="center"/>
    </xf>
    <xf numFmtId="0" fontId="3" fillId="0" borderId="50" xfId="0" applyFont="1" applyFill="1" applyBorder="1" applyAlignment="1">
      <alignment horizontal="center"/>
    </xf>
    <xf numFmtId="0" fontId="3" fillId="0" borderId="51" xfId="0" applyFont="1" applyFill="1" applyBorder="1" applyAlignment="1">
      <alignment horizontal="center"/>
    </xf>
    <xf numFmtId="0" fontId="3" fillId="0" borderId="52" xfId="0" applyFont="1" applyFill="1" applyBorder="1" applyAlignment="1">
      <alignment horizontal="center"/>
    </xf>
    <xf numFmtId="0" fontId="3" fillId="0" borderId="53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/>
    </xf>
    <xf numFmtId="0" fontId="2" fillId="0" borderId="42" xfId="0" applyFont="1" applyFill="1" applyBorder="1" applyAlignment="1">
      <alignment horizontal="center" vertical="center"/>
    </xf>
    <xf numFmtId="0" fontId="2" fillId="0" borderId="44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9" fillId="0" borderId="32" xfId="0" applyFont="1" applyBorder="1" applyAlignment="1">
      <alignment horizontal="center" vertical="center" wrapText="1"/>
    </xf>
    <xf numFmtId="0" fontId="9" fillId="0" borderId="41" xfId="0" applyFont="1" applyBorder="1" applyAlignment="1">
      <alignment horizontal="center" vertical="center"/>
    </xf>
    <xf numFmtId="0" fontId="9" fillId="0" borderId="33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9" fillId="0" borderId="36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62" xfId="0" applyFont="1" applyBorder="1" applyAlignment="1">
      <alignment horizontal="center" vertical="center"/>
    </xf>
    <xf numFmtId="0" fontId="9" fillId="0" borderId="45" xfId="0" applyFont="1" applyBorder="1" applyAlignment="1">
      <alignment horizontal="center" vertical="center"/>
    </xf>
    <xf numFmtId="0" fontId="9" fillId="0" borderId="69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63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9" fillId="0" borderId="64" xfId="0" applyFont="1" applyBorder="1" applyAlignment="1">
      <alignment horizontal="center" vertical="center" wrapText="1"/>
    </xf>
    <xf numFmtId="0" fontId="9" fillId="0" borderId="66" xfId="0" applyFont="1" applyBorder="1" applyAlignment="1">
      <alignment horizontal="center" vertical="center" wrapText="1"/>
    </xf>
    <xf numFmtId="0" fontId="9" fillId="0" borderId="70" xfId="0" applyFont="1" applyBorder="1" applyAlignment="1">
      <alignment horizontal="center" vertical="center" wrapText="1"/>
    </xf>
    <xf numFmtId="0" fontId="9" fillId="0" borderId="67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65" xfId="0" applyFont="1" applyBorder="1" applyAlignment="1">
      <alignment horizontal="center" vertical="center" wrapText="1"/>
    </xf>
    <xf numFmtId="0" fontId="9" fillId="0" borderId="68" xfId="0" applyFont="1" applyBorder="1" applyAlignment="1">
      <alignment horizontal="center" vertical="center" wrapText="1"/>
    </xf>
    <xf numFmtId="0" fontId="9" fillId="0" borderId="71" xfId="0" applyFont="1" applyBorder="1" applyAlignment="1">
      <alignment horizontal="center" vertical="center" wrapText="1"/>
    </xf>
    <xf numFmtId="0" fontId="9" fillId="0" borderId="42" xfId="0" applyFont="1" applyBorder="1" applyAlignment="1">
      <alignment horizontal="center" vertical="center"/>
    </xf>
    <xf numFmtId="0" fontId="9" fillId="0" borderId="44" xfId="0" applyFont="1" applyBorder="1" applyAlignment="1">
      <alignment horizontal="center" vertical="center"/>
    </xf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79"/>
  <sheetViews>
    <sheetView workbookViewId="0">
      <pane ySplit="5" topLeftCell="A6" activePane="bottomLeft" state="frozen"/>
      <selection pane="bottomLeft" activeCell="B7" sqref="B7"/>
    </sheetView>
  </sheetViews>
  <sheetFormatPr baseColWidth="10" defaultColWidth="13" defaultRowHeight="15" x14ac:dyDescent="0.25"/>
  <cols>
    <col min="1" max="1" width="5" style="71" customWidth="1"/>
    <col min="2" max="2" width="12.109375" style="71" bestFit="1" customWidth="1"/>
    <col min="3" max="3" width="29.33203125" style="71" customWidth="1"/>
    <col min="4" max="4" width="6.6640625" style="71" customWidth="1"/>
    <col min="5" max="5" width="6.109375" style="71" customWidth="1"/>
    <col min="6" max="6" width="4.44140625" style="71" bestFit="1" customWidth="1"/>
    <col min="7" max="7" width="6.6640625" style="71" customWidth="1"/>
    <col min="8" max="8" width="6.109375" style="71" customWidth="1"/>
    <col min="9" max="9" width="4.44140625" style="71" customWidth="1"/>
    <col min="10" max="10" width="6.6640625" style="71" customWidth="1"/>
    <col min="11" max="11" width="6.109375" style="71" customWidth="1"/>
    <col min="12" max="12" width="4.44140625" style="71" customWidth="1"/>
    <col min="13" max="13" width="6.6640625" style="71" customWidth="1"/>
    <col min="14" max="14" width="6.109375" style="71" customWidth="1"/>
    <col min="15" max="15" width="4.44140625" style="71" customWidth="1"/>
    <col min="16" max="16" width="6.6640625" style="71" customWidth="1"/>
    <col min="17" max="17" width="5.33203125" style="71" customWidth="1"/>
    <col min="18" max="18" width="4.44140625" style="71" customWidth="1"/>
    <col min="19" max="19" width="6.6640625" style="71" customWidth="1"/>
    <col min="20" max="20" width="6.109375" style="71" customWidth="1"/>
    <col min="21" max="21" width="4.44140625" style="71" customWidth="1"/>
    <col min="22" max="24" width="7.44140625" style="71" customWidth="1"/>
    <col min="25" max="25" width="7" style="71" customWidth="1"/>
    <col min="26" max="26" width="5.109375" style="71" bestFit="1" customWidth="1"/>
    <col min="27" max="16384" width="13" style="71"/>
  </cols>
  <sheetData>
    <row r="1" spans="1:26" ht="15.6" x14ac:dyDescent="0.3">
      <c r="A1" s="70" t="s">
        <v>71</v>
      </c>
    </row>
    <row r="3" spans="1:26" s="73" customFormat="1" ht="30" customHeight="1" x14ac:dyDescent="0.25">
      <c r="A3" s="313" t="s">
        <v>0</v>
      </c>
      <c r="B3" s="313" t="s">
        <v>1</v>
      </c>
      <c r="C3" s="315" t="s">
        <v>37</v>
      </c>
      <c r="D3" s="314" t="s">
        <v>2</v>
      </c>
      <c r="E3" s="314"/>
      <c r="F3" s="314"/>
      <c r="G3" s="314" t="s">
        <v>3</v>
      </c>
      <c r="H3" s="314"/>
      <c r="I3" s="314"/>
      <c r="J3" s="314" t="s">
        <v>4</v>
      </c>
      <c r="K3" s="314"/>
      <c r="L3" s="314"/>
      <c r="M3" s="314" t="s">
        <v>5</v>
      </c>
      <c r="N3" s="314"/>
      <c r="O3" s="314"/>
      <c r="P3" s="314" t="s">
        <v>6</v>
      </c>
      <c r="Q3" s="314"/>
      <c r="R3" s="314"/>
      <c r="S3" s="314" t="s">
        <v>7</v>
      </c>
      <c r="T3" s="314"/>
      <c r="U3" s="314"/>
      <c r="V3" s="317" t="s">
        <v>16</v>
      </c>
      <c r="W3" s="317"/>
      <c r="X3" s="317"/>
      <c r="Y3" s="317"/>
      <c r="Z3" s="314" t="s">
        <v>8</v>
      </c>
    </row>
    <row r="4" spans="1:26" s="73" customFormat="1" ht="30.75" customHeight="1" x14ac:dyDescent="0.25">
      <c r="A4" s="314"/>
      <c r="B4" s="314"/>
      <c r="C4" s="314"/>
      <c r="D4" s="315" t="s">
        <v>9</v>
      </c>
      <c r="E4" s="314" t="s">
        <v>17</v>
      </c>
      <c r="F4" s="314" t="s">
        <v>10</v>
      </c>
      <c r="G4" s="315" t="s">
        <v>9</v>
      </c>
      <c r="H4" s="314" t="s">
        <v>17</v>
      </c>
      <c r="I4" s="314" t="s">
        <v>8</v>
      </c>
      <c r="J4" s="315" t="s">
        <v>9</v>
      </c>
      <c r="K4" s="314" t="s">
        <v>17</v>
      </c>
      <c r="L4" s="314" t="s">
        <v>8</v>
      </c>
      <c r="M4" s="315" t="s">
        <v>9</v>
      </c>
      <c r="N4" s="314" t="s">
        <v>17</v>
      </c>
      <c r="O4" s="314" t="s">
        <v>8</v>
      </c>
      <c r="P4" s="315" t="s">
        <v>9</v>
      </c>
      <c r="Q4" s="314" t="s">
        <v>17</v>
      </c>
      <c r="R4" s="314" t="s">
        <v>8</v>
      </c>
      <c r="S4" s="315" t="s">
        <v>9</v>
      </c>
      <c r="T4" s="314" t="s">
        <v>17</v>
      </c>
      <c r="U4" s="314" t="s">
        <v>8</v>
      </c>
      <c r="V4" s="316" t="s">
        <v>39</v>
      </c>
      <c r="W4" s="316"/>
      <c r="X4" s="317" t="s">
        <v>40</v>
      </c>
      <c r="Y4" s="317"/>
      <c r="Z4" s="314"/>
    </row>
    <row r="5" spans="1:26" s="73" customFormat="1" ht="30" customHeight="1" x14ac:dyDescent="0.25">
      <c r="A5" s="314"/>
      <c r="B5" s="314"/>
      <c r="C5" s="314"/>
      <c r="D5" s="315"/>
      <c r="E5" s="314"/>
      <c r="F5" s="314"/>
      <c r="G5" s="315"/>
      <c r="H5" s="314"/>
      <c r="I5" s="314"/>
      <c r="J5" s="315"/>
      <c r="K5" s="314"/>
      <c r="L5" s="314"/>
      <c r="M5" s="315"/>
      <c r="N5" s="314"/>
      <c r="O5" s="314"/>
      <c r="P5" s="315"/>
      <c r="Q5" s="314"/>
      <c r="R5" s="314"/>
      <c r="S5" s="315"/>
      <c r="T5" s="314"/>
      <c r="U5" s="314"/>
      <c r="V5" s="65" t="s">
        <v>9</v>
      </c>
      <c r="W5" s="64" t="s">
        <v>17</v>
      </c>
      <c r="X5" s="65" t="s">
        <v>9</v>
      </c>
      <c r="Y5" s="64" t="s">
        <v>17</v>
      </c>
      <c r="Z5" s="314"/>
    </row>
    <row r="6" spans="1:26" s="73" customFormat="1" ht="15.6" x14ac:dyDescent="0.25">
      <c r="A6" s="76">
        <v>1</v>
      </c>
      <c r="B6" s="76">
        <v>2</v>
      </c>
      <c r="C6" s="76">
        <v>2</v>
      </c>
      <c r="D6" s="76">
        <v>3</v>
      </c>
      <c r="E6" s="76">
        <v>4</v>
      </c>
      <c r="F6" s="76">
        <v>5</v>
      </c>
      <c r="G6" s="76">
        <v>6</v>
      </c>
      <c r="H6" s="76">
        <v>7</v>
      </c>
      <c r="I6" s="76">
        <v>8</v>
      </c>
      <c r="J6" s="76">
        <v>9</v>
      </c>
      <c r="K6" s="76">
        <v>10</v>
      </c>
      <c r="L6" s="76">
        <v>11</v>
      </c>
      <c r="M6" s="76">
        <v>12</v>
      </c>
      <c r="N6" s="76">
        <v>13</v>
      </c>
      <c r="O6" s="76">
        <v>14</v>
      </c>
      <c r="P6" s="76">
        <v>15</v>
      </c>
      <c r="Q6" s="76">
        <v>16</v>
      </c>
      <c r="R6" s="76">
        <v>17</v>
      </c>
      <c r="S6" s="76">
        <v>18</v>
      </c>
      <c r="T6" s="76">
        <v>19</v>
      </c>
      <c r="U6" s="76">
        <v>20</v>
      </c>
      <c r="V6" s="77">
        <v>21</v>
      </c>
      <c r="W6" s="76">
        <v>22</v>
      </c>
      <c r="X6" s="77">
        <v>23</v>
      </c>
      <c r="Y6" s="77">
        <v>24</v>
      </c>
      <c r="Z6" s="76">
        <v>25</v>
      </c>
    </row>
    <row r="7" spans="1:26" ht="15.6" x14ac:dyDescent="0.3">
      <c r="A7" s="235">
        <v>12</v>
      </c>
      <c r="B7" s="90" t="s">
        <v>22</v>
      </c>
      <c r="C7" s="236" t="s">
        <v>11</v>
      </c>
      <c r="D7" s="89">
        <v>90</v>
      </c>
      <c r="E7" s="88">
        <v>43</v>
      </c>
      <c r="F7" s="88">
        <v>3</v>
      </c>
      <c r="G7" s="89">
        <v>91</v>
      </c>
      <c r="H7" s="88">
        <v>48</v>
      </c>
      <c r="I7" s="88">
        <v>3</v>
      </c>
      <c r="J7" s="89">
        <v>94</v>
      </c>
      <c r="K7" s="88">
        <v>51</v>
      </c>
      <c r="L7" s="88">
        <v>3</v>
      </c>
      <c r="M7" s="89">
        <v>108</v>
      </c>
      <c r="N7" s="88">
        <v>62</v>
      </c>
      <c r="O7" s="88">
        <v>4</v>
      </c>
      <c r="P7" s="89">
        <v>107</v>
      </c>
      <c r="Q7" s="88">
        <v>54</v>
      </c>
      <c r="R7" s="88">
        <v>4</v>
      </c>
      <c r="S7" s="89"/>
      <c r="T7" s="88"/>
      <c r="U7" s="88"/>
      <c r="V7" s="89">
        <f>D7+G7+J7+M7+P7+S7</f>
        <v>490</v>
      </c>
      <c r="W7" s="88">
        <f>E7+H7+K7+N7+Q7+T7</f>
        <v>258</v>
      </c>
      <c r="X7" s="89">
        <v>2</v>
      </c>
      <c r="Y7" s="237">
        <v>1</v>
      </c>
      <c r="Z7" s="91">
        <f>F7+I7+L7+O7+R7+U7</f>
        <v>17</v>
      </c>
    </row>
    <row r="8" spans="1:26" ht="30.6" x14ac:dyDescent="0.3">
      <c r="A8" s="238">
        <v>13</v>
      </c>
      <c r="B8" s="2" t="s">
        <v>22</v>
      </c>
      <c r="C8" s="239" t="s">
        <v>12</v>
      </c>
      <c r="D8" s="1">
        <v>140</v>
      </c>
      <c r="E8" s="2">
        <v>76</v>
      </c>
      <c r="F8" s="2">
        <v>5</v>
      </c>
      <c r="G8" s="3">
        <v>116</v>
      </c>
      <c r="H8" s="2">
        <v>55</v>
      </c>
      <c r="I8" s="2">
        <v>4</v>
      </c>
      <c r="J8" s="3">
        <v>121</v>
      </c>
      <c r="K8" s="2">
        <v>70</v>
      </c>
      <c r="L8" s="2">
        <v>4</v>
      </c>
      <c r="M8" s="3">
        <v>119</v>
      </c>
      <c r="N8" s="2">
        <v>62</v>
      </c>
      <c r="O8" s="2">
        <v>4</v>
      </c>
      <c r="P8" s="3">
        <v>109</v>
      </c>
      <c r="Q8" s="2">
        <v>52</v>
      </c>
      <c r="R8" s="2">
        <v>4</v>
      </c>
      <c r="S8" s="3"/>
      <c r="T8" s="2"/>
      <c r="U8" s="2"/>
      <c r="V8" s="3">
        <f>D8+G8+J8+M8+P8+S8</f>
        <v>605</v>
      </c>
      <c r="W8" s="2">
        <f>E8+H8+K8+N8+Q8+T8</f>
        <v>315</v>
      </c>
      <c r="X8" s="3">
        <v>1</v>
      </c>
      <c r="Y8" s="240">
        <v>0</v>
      </c>
      <c r="Z8" s="99">
        <f>F8+I8+L8+O8+R8+U8</f>
        <v>21</v>
      </c>
    </row>
    <row r="9" spans="1:26" ht="16.2" thickBot="1" x14ac:dyDescent="0.35">
      <c r="A9" s="241">
        <v>14</v>
      </c>
      <c r="B9" s="88" t="s">
        <v>22</v>
      </c>
      <c r="C9" s="242" t="s">
        <v>13</v>
      </c>
      <c r="D9" s="243">
        <v>106</v>
      </c>
      <c r="E9" s="244">
        <v>106</v>
      </c>
      <c r="F9" s="244">
        <v>4</v>
      </c>
      <c r="G9" s="243">
        <v>90</v>
      </c>
      <c r="H9" s="244">
        <v>90</v>
      </c>
      <c r="I9" s="244">
        <v>3</v>
      </c>
      <c r="J9" s="243">
        <v>112</v>
      </c>
      <c r="K9" s="244">
        <v>112</v>
      </c>
      <c r="L9" s="244">
        <v>4</v>
      </c>
      <c r="M9" s="243">
        <v>110</v>
      </c>
      <c r="N9" s="244">
        <v>110</v>
      </c>
      <c r="O9" s="244">
        <v>4</v>
      </c>
      <c r="P9" s="243">
        <v>91</v>
      </c>
      <c r="Q9" s="244">
        <v>91</v>
      </c>
      <c r="R9" s="244">
        <v>3</v>
      </c>
      <c r="S9" s="243"/>
      <c r="T9" s="244"/>
      <c r="U9" s="244"/>
      <c r="V9" s="243">
        <f>D9+G9+J9+M9+P9+S9</f>
        <v>509</v>
      </c>
      <c r="W9" s="244">
        <f>E9+H9+K9+N9+Q9+T9</f>
        <v>509</v>
      </c>
      <c r="X9" s="243">
        <v>5</v>
      </c>
      <c r="Y9" s="245">
        <v>5</v>
      </c>
      <c r="Z9" s="246">
        <f>F9+I9+L9+O9+R9+U9</f>
        <v>18</v>
      </c>
    </row>
    <row r="10" spans="1:26" ht="31.8" thickBot="1" x14ac:dyDescent="0.35">
      <c r="A10" s="247"/>
      <c r="B10" s="144" t="s">
        <v>22</v>
      </c>
      <c r="C10" s="248" t="s">
        <v>19</v>
      </c>
      <c r="D10" s="243">
        <f t="shared" ref="D10:R10" si="0">SUM(D7:D9)</f>
        <v>336</v>
      </c>
      <c r="E10" s="244">
        <f t="shared" si="0"/>
        <v>225</v>
      </c>
      <c r="F10" s="244">
        <f t="shared" si="0"/>
        <v>12</v>
      </c>
      <c r="G10" s="243">
        <f t="shared" si="0"/>
        <v>297</v>
      </c>
      <c r="H10" s="244">
        <f t="shared" si="0"/>
        <v>193</v>
      </c>
      <c r="I10" s="244">
        <f t="shared" si="0"/>
        <v>10</v>
      </c>
      <c r="J10" s="243">
        <f t="shared" si="0"/>
        <v>327</v>
      </c>
      <c r="K10" s="244">
        <f t="shared" si="0"/>
        <v>233</v>
      </c>
      <c r="L10" s="244">
        <f t="shared" si="0"/>
        <v>11</v>
      </c>
      <c r="M10" s="243">
        <f t="shared" si="0"/>
        <v>337</v>
      </c>
      <c r="N10" s="244">
        <f t="shared" si="0"/>
        <v>234</v>
      </c>
      <c r="O10" s="244">
        <f t="shared" si="0"/>
        <v>12</v>
      </c>
      <c r="P10" s="243">
        <f t="shared" si="0"/>
        <v>307</v>
      </c>
      <c r="Q10" s="244">
        <f t="shared" si="0"/>
        <v>197</v>
      </c>
      <c r="R10" s="244">
        <f t="shared" si="0"/>
        <v>11</v>
      </c>
      <c r="S10" s="243"/>
      <c r="T10" s="244"/>
      <c r="U10" s="244"/>
      <c r="V10" s="249">
        <f>D10+G10+J10+M10+P10+S10</f>
        <v>1604</v>
      </c>
      <c r="W10" s="108">
        <f>E10+H10+K10+N10+Q10+T10</f>
        <v>1082</v>
      </c>
      <c r="X10" s="243">
        <f>SUM(X7:X9)</f>
        <v>8</v>
      </c>
      <c r="Y10" s="245">
        <f>SUM(Y7:Y9)</f>
        <v>6</v>
      </c>
      <c r="Z10" s="246">
        <f>SUM(Z7:Z9)</f>
        <v>56</v>
      </c>
    </row>
    <row r="11" spans="1:26" ht="31.8" thickBot="1" x14ac:dyDescent="0.35">
      <c r="A11" s="247"/>
      <c r="B11" s="144" t="s">
        <v>22</v>
      </c>
      <c r="C11" s="248" t="s">
        <v>21</v>
      </c>
      <c r="D11" s="249">
        <v>1191</v>
      </c>
      <c r="E11" s="250">
        <v>564</v>
      </c>
      <c r="F11" s="250">
        <v>41</v>
      </c>
      <c r="G11" s="249">
        <v>1269</v>
      </c>
      <c r="H11" s="250">
        <v>629</v>
      </c>
      <c r="I11" s="250">
        <v>43</v>
      </c>
      <c r="J11" s="249">
        <v>1207</v>
      </c>
      <c r="K11" s="250">
        <v>574</v>
      </c>
      <c r="L11" s="250">
        <v>42</v>
      </c>
      <c r="M11" s="249">
        <v>1200</v>
      </c>
      <c r="N11" s="250">
        <v>570</v>
      </c>
      <c r="O11" s="250">
        <v>41</v>
      </c>
      <c r="P11" s="249">
        <v>1208</v>
      </c>
      <c r="Q11" s="250">
        <v>587</v>
      </c>
      <c r="R11" s="250">
        <v>40</v>
      </c>
      <c r="S11" s="249"/>
      <c r="T11" s="250"/>
      <c r="U11" s="250"/>
      <c r="V11" s="249">
        <f>D11+G11+J11+M11+P11+S11</f>
        <v>6075</v>
      </c>
      <c r="W11" s="108">
        <f>E11+H11+K11+N11+Q11+T11</f>
        <v>2924</v>
      </c>
      <c r="X11" s="249">
        <v>149</v>
      </c>
      <c r="Y11" s="251">
        <v>72</v>
      </c>
      <c r="Z11" s="252">
        <v>207</v>
      </c>
    </row>
    <row r="12" spans="1:26" ht="31.8" thickBot="1" x14ac:dyDescent="0.35">
      <c r="A12" s="247"/>
      <c r="B12" s="253" t="s">
        <v>22</v>
      </c>
      <c r="C12" s="248" t="s">
        <v>20</v>
      </c>
      <c r="D12" s="249">
        <f t="shared" ref="D12:Z12" si="1">SUM(D10:D11)</f>
        <v>1527</v>
      </c>
      <c r="E12" s="249">
        <f t="shared" si="1"/>
        <v>789</v>
      </c>
      <c r="F12" s="243">
        <f t="shared" si="1"/>
        <v>53</v>
      </c>
      <c r="G12" s="249">
        <f t="shared" si="1"/>
        <v>1566</v>
      </c>
      <c r="H12" s="249">
        <f t="shared" si="1"/>
        <v>822</v>
      </c>
      <c r="I12" s="243">
        <f t="shared" si="1"/>
        <v>53</v>
      </c>
      <c r="J12" s="249">
        <f t="shared" si="1"/>
        <v>1534</v>
      </c>
      <c r="K12" s="249">
        <f t="shared" si="1"/>
        <v>807</v>
      </c>
      <c r="L12" s="243">
        <f t="shared" si="1"/>
        <v>53</v>
      </c>
      <c r="M12" s="249">
        <f t="shared" si="1"/>
        <v>1537</v>
      </c>
      <c r="N12" s="249">
        <f t="shared" si="1"/>
        <v>804</v>
      </c>
      <c r="O12" s="243">
        <f t="shared" si="1"/>
        <v>53</v>
      </c>
      <c r="P12" s="249">
        <f t="shared" si="1"/>
        <v>1515</v>
      </c>
      <c r="Q12" s="249">
        <f t="shared" si="1"/>
        <v>784</v>
      </c>
      <c r="R12" s="243">
        <f t="shared" si="1"/>
        <v>51</v>
      </c>
      <c r="S12" s="249"/>
      <c r="T12" s="249"/>
      <c r="U12" s="243"/>
      <c r="V12" s="249">
        <f t="shared" si="1"/>
        <v>7679</v>
      </c>
      <c r="W12" s="249">
        <f t="shared" si="1"/>
        <v>4006</v>
      </c>
      <c r="X12" s="243">
        <f t="shared" si="1"/>
        <v>157</v>
      </c>
      <c r="Y12" s="254">
        <f t="shared" si="1"/>
        <v>78</v>
      </c>
      <c r="Z12" s="255">
        <f t="shared" si="1"/>
        <v>263</v>
      </c>
    </row>
    <row r="13" spans="1:26" ht="15.6" x14ac:dyDescent="0.3">
      <c r="A13" s="256">
        <v>12</v>
      </c>
      <c r="B13" s="146" t="s">
        <v>28</v>
      </c>
      <c r="C13" s="257" t="s">
        <v>11</v>
      </c>
      <c r="D13" s="140">
        <v>88</v>
      </c>
      <c r="E13" s="144">
        <v>41</v>
      </c>
      <c r="F13" s="144">
        <v>3</v>
      </c>
      <c r="G13" s="140">
        <v>91</v>
      </c>
      <c r="H13" s="144">
        <v>44</v>
      </c>
      <c r="I13" s="144">
        <v>3</v>
      </c>
      <c r="J13" s="140">
        <v>92</v>
      </c>
      <c r="K13" s="144">
        <v>48</v>
      </c>
      <c r="L13" s="144">
        <v>3</v>
      </c>
      <c r="M13" s="140">
        <v>93</v>
      </c>
      <c r="N13" s="144">
        <v>50</v>
      </c>
      <c r="O13" s="144">
        <v>3</v>
      </c>
      <c r="P13" s="140">
        <v>109</v>
      </c>
      <c r="Q13" s="144">
        <v>62</v>
      </c>
      <c r="R13" s="144">
        <v>4</v>
      </c>
      <c r="S13" s="140"/>
      <c r="T13" s="144"/>
      <c r="U13" s="144"/>
      <c r="V13" s="140">
        <f>D13+G13+J13+M13+P13+S13</f>
        <v>473</v>
      </c>
      <c r="W13" s="144">
        <f>E13+H13+K13+N13+Q13+T13</f>
        <v>245</v>
      </c>
      <c r="X13" s="140">
        <v>1</v>
      </c>
      <c r="Y13" s="258">
        <v>1</v>
      </c>
      <c r="Z13" s="141">
        <f>F13+I13+L13+O13+R13+U13</f>
        <v>16</v>
      </c>
    </row>
    <row r="14" spans="1:26" ht="30.6" x14ac:dyDescent="0.3">
      <c r="A14" s="238">
        <v>13</v>
      </c>
      <c r="B14" s="2" t="s">
        <v>28</v>
      </c>
      <c r="C14" s="239" t="s">
        <v>12</v>
      </c>
      <c r="D14" s="1">
        <v>119</v>
      </c>
      <c r="E14" s="2">
        <v>65</v>
      </c>
      <c r="F14" s="2">
        <v>4</v>
      </c>
      <c r="G14" s="3">
        <v>142</v>
      </c>
      <c r="H14" s="2">
        <v>77</v>
      </c>
      <c r="I14" s="2">
        <v>5</v>
      </c>
      <c r="J14" s="3">
        <v>115</v>
      </c>
      <c r="K14" s="2">
        <v>54</v>
      </c>
      <c r="L14" s="2">
        <v>4</v>
      </c>
      <c r="M14" s="3">
        <v>120</v>
      </c>
      <c r="N14" s="2">
        <v>70</v>
      </c>
      <c r="O14" s="2">
        <v>4</v>
      </c>
      <c r="P14" s="3">
        <v>117</v>
      </c>
      <c r="Q14" s="2">
        <v>63</v>
      </c>
      <c r="R14" s="2">
        <v>4</v>
      </c>
      <c r="S14" s="3"/>
      <c r="T14" s="2"/>
      <c r="U14" s="2"/>
      <c r="V14" s="3">
        <f>D14+G14+J14+M14+P14+S14</f>
        <v>613</v>
      </c>
      <c r="W14" s="2">
        <f>E14+H14+K14+N14+Q14+T14</f>
        <v>329</v>
      </c>
      <c r="X14" s="3">
        <v>2</v>
      </c>
      <c r="Y14" s="240">
        <v>2</v>
      </c>
      <c r="Z14" s="99">
        <f>F14+I14+L14+O14+R14+U14</f>
        <v>21</v>
      </c>
    </row>
    <row r="15" spans="1:26" ht="16.2" thickBot="1" x14ac:dyDescent="0.35">
      <c r="A15" s="241">
        <v>14</v>
      </c>
      <c r="B15" s="90" t="s">
        <v>28</v>
      </c>
      <c r="C15" s="242" t="s">
        <v>13</v>
      </c>
      <c r="D15" s="243">
        <v>110</v>
      </c>
      <c r="E15" s="244">
        <v>110</v>
      </c>
      <c r="F15" s="244">
        <v>4</v>
      </c>
      <c r="G15" s="243">
        <v>108</v>
      </c>
      <c r="H15" s="244">
        <v>108</v>
      </c>
      <c r="I15" s="244">
        <v>4</v>
      </c>
      <c r="J15" s="243">
        <v>91</v>
      </c>
      <c r="K15" s="244">
        <v>91</v>
      </c>
      <c r="L15" s="244">
        <v>3</v>
      </c>
      <c r="M15" s="243">
        <v>113</v>
      </c>
      <c r="N15" s="244">
        <v>113</v>
      </c>
      <c r="O15" s="244">
        <v>4</v>
      </c>
      <c r="P15" s="243">
        <v>107</v>
      </c>
      <c r="Q15" s="244">
        <v>107</v>
      </c>
      <c r="R15" s="244">
        <v>4</v>
      </c>
      <c r="S15" s="243"/>
      <c r="T15" s="244"/>
      <c r="U15" s="244"/>
      <c r="V15" s="243">
        <f>D15+G15+J15+M15+P15+S15</f>
        <v>529</v>
      </c>
      <c r="W15" s="244">
        <f>E15+H15+K15+N15+Q15+T15</f>
        <v>529</v>
      </c>
      <c r="X15" s="243">
        <v>3</v>
      </c>
      <c r="Y15" s="245">
        <v>3</v>
      </c>
      <c r="Z15" s="246">
        <f>F15+I15+L15+O15+R15+U15</f>
        <v>19</v>
      </c>
    </row>
    <row r="16" spans="1:26" ht="31.8" thickBot="1" x14ac:dyDescent="0.35">
      <c r="A16" s="247"/>
      <c r="B16" s="146" t="s">
        <v>28</v>
      </c>
      <c r="C16" s="248" t="s">
        <v>19</v>
      </c>
      <c r="D16" s="243">
        <f t="shared" ref="D16:R16" si="2">SUM(D13:D15)</f>
        <v>317</v>
      </c>
      <c r="E16" s="244">
        <f t="shared" si="2"/>
        <v>216</v>
      </c>
      <c r="F16" s="244">
        <f t="shared" si="2"/>
        <v>11</v>
      </c>
      <c r="G16" s="243">
        <f t="shared" si="2"/>
        <v>341</v>
      </c>
      <c r="H16" s="244">
        <f t="shared" si="2"/>
        <v>229</v>
      </c>
      <c r="I16" s="244">
        <f t="shared" si="2"/>
        <v>12</v>
      </c>
      <c r="J16" s="243">
        <f t="shared" si="2"/>
        <v>298</v>
      </c>
      <c r="K16" s="244">
        <f t="shared" si="2"/>
        <v>193</v>
      </c>
      <c r="L16" s="244">
        <f t="shared" si="2"/>
        <v>10</v>
      </c>
      <c r="M16" s="243">
        <f t="shared" si="2"/>
        <v>326</v>
      </c>
      <c r="N16" s="244">
        <f t="shared" si="2"/>
        <v>233</v>
      </c>
      <c r="O16" s="244">
        <f t="shared" si="2"/>
        <v>11</v>
      </c>
      <c r="P16" s="243">
        <f t="shared" si="2"/>
        <v>333</v>
      </c>
      <c r="Q16" s="244">
        <f t="shared" si="2"/>
        <v>232</v>
      </c>
      <c r="R16" s="244">
        <f t="shared" si="2"/>
        <v>12</v>
      </c>
      <c r="S16" s="243"/>
      <c r="T16" s="244"/>
      <c r="U16" s="244"/>
      <c r="V16" s="249">
        <f>D16+G16+J16+M16+P16+S16</f>
        <v>1615</v>
      </c>
      <c r="W16" s="108">
        <f>E16+H16+K16+N16+Q16+T16</f>
        <v>1103</v>
      </c>
      <c r="X16" s="243">
        <f>SUM(X13:X15)</f>
        <v>6</v>
      </c>
      <c r="Y16" s="245">
        <f>SUM(Y13:Y15)</f>
        <v>6</v>
      </c>
      <c r="Z16" s="246">
        <f>SUM(Z13:Z15)</f>
        <v>56</v>
      </c>
    </row>
    <row r="17" spans="1:26" ht="31.8" thickBot="1" x14ac:dyDescent="0.35">
      <c r="A17" s="247"/>
      <c r="B17" s="146" t="s">
        <v>28</v>
      </c>
      <c r="C17" s="248" t="s">
        <v>21</v>
      </c>
      <c r="D17" s="249">
        <v>1300</v>
      </c>
      <c r="E17" s="250">
        <v>602</v>
      </c>
      <c r="F17" s="250">
        <v>45</v>
      </c>
      <c r="G17" s="249">
        <v>1213</v>
      </c>
      <c r="H17" s="250">
        <v>561</v>
      </c>
      <c r="I17" s="250">
        <v>41</v>
      </c>
      <c r="J17" s="249">
        <v>1234</v>
      </c>
      <c r="K17" s="250">
        <v>615</v>
      </c>
      <c r="L17" s="250">
        <v>43</v>
      </c>
      <c r="M17" s="249">
        <v>1210</v>
      </c>
      <c r="N17" s="250">
        <v>574</v>
      </c>
      <c r="O17" s="250">
        <v>42</v>
      </c>
      <c r="P17" s="249">
        <v>1178</v>
      </c>
      <c r="Q17" s="250">
        <v>561</v>
      </c>
      <c r="R17" s="250">
        <v>41</v>
      </c>
      <c r="S17" s="249"/>
      <c r="T17" s="250"/>
      <c r="U17" s="250"/>
      <c r="V17" s="249">
        <f>D17+G17+J17+M17+P17+S17</f>
        <v>6135</v>
      </c>
      <c r="W17" s="108">
        <f>E17+H17+K17+N17+Q17+T17</f>
        <v>2913</v>
      </c>
      <c r="X17" s="249">
        <v>156</v>
      </c>
      <c r="Y17" s="251">
        <v>71</v>
      </c>
      <c r="Z17" s="252">
        <v>212</v>
      </c>
    </row>
    <row r="18" spans="1:26" ht="31.8" thickBot="1" x14ac:dyDescent="0.35">
      <c r="A18" s="247"/>
      <c r="B18" s="253" t="s">
        <v>28</v>
      </c>
      <c r="C18" s="248" t="s">
        <v>20</v>
      </c>
      <c r="D18" s="249">
        <f t="shared" ref="D18:R18" si="3">SUM(D16:D17)</f>
        <v>1617</v>
      </c>
      <c r="E18" s="249">
        <f t="shared" si="3"/>
        <v>818</v>
      </c>
      <c r="F18" s="243">
        <f t="shared" si="3"/>
        <v>56</v>
      </c>
      <c r="G18" s="249">
        <f t="shared" si="3"/>
        <v>1554</v>
      </c>
      <c r="H18" s="249">
        <f t="shared" si="3"/>
        <v>790</v>
      </c>
      <c r="I18" s="243">
        <f t="shared" si="3"/>
        <v>53</v>
      </c>
      <c r="J18" s="249">
        <f t="shared" si="3"/>
        <v>1532</v>
      </c>
      <c r="K18" s="249">
        <f t="shared" si="3"/>
        <v>808</v>
      </c>
      <c r="L18" s="243">
        <f t="shared" si="3"/>
        <v>53</v>
      </c>
      <c r="M18" s="249">
        <f t="shared" si="3"/>
        <v>1536</v>
      </c>
      <c r="N18" s="249">
        <f t="shared" si="3"/>
        <v>807</v>
      </c>
      <c r="O18" s="243">
        <f t="shared" si="3"/>
        <v>53</v>
      </c>
      <c r="P18" s="249">
        <f t="shared" si="3"/>
        <v>1511</v>
      </c>
      <c r="Q18" s="249">
        <f t="shared" si="3"/>
        <v>793</v>
      </c>
      <c r="R18" s="243">
        <f t="shared" si="3"/>
        <v>53</v>
      </c>
      <c r="S18" s="249"/>
      <c r="T18" s="249"/>
      <c r="U18" s="243"/>
      <c r="V18" s="249">
        <f t="shared" ref="V18:Z18" si="4">SUM(V16:V17)</f>
        <v>7750</v>
      </c>
      <c r="W18" s="249">
        <f t="shared" si="4"/>
        <v>4016</v>
      </c>
      <c r="X18" s="243">
        <f t="shared" si="4"/>
        <v>162</v>
      </c>
      <c r="Y18" s="254">
        <f t="shared" si="4"/>
        <v>77</v>
      </c>
      <c r="Z18" s="255">
        <f t="shared" si="4"/>
        <v>268</v>
      </c>
    </row>
    <row r="19" spans="1:26" ht="15.6" x14ac:dyDescent="0.3">
      <c r="A19" s="256">
        <v>12</v>
      </c>
      <c r="B19" s="146" t="s">
        <v>30</v>
      </c>
      <c r="C19" s="257" t="s">
        <v>11</v>
      </c>
      <c r="D19" s="140">
        <f>23+25+25+25</f>
        <v>98</v>
      </c>
      <c r="E19" s="144">
        <f>13+14+10+11</f>
        <v>48</v>
      </c>
      <c r="F19" s="144">
        <v>4</v>
      </c>
      <c r="G19" s="140">
        <f>29+31+29</f>
        <v>89</v>
      </c>
      <c r="H19" s="144">
        <f>17+13+11</f>
        <v>41</v>
      </c>
      <c r="I19" s="144">
        <v>3</v>
      </c>
      <c r="J19" s="140">
        <f>32+31+32</f>
        <v>95</v>
      </c>
      <c r="K19" s="144">
        <f>15+15+16</f>
        <v>46</v>
      </c>
      <c r="L19" s="144">
        <v>3</v>
      </c>
      <c r="M19" s="140">
        <f>30+29+31</f>
        <v>90</v>
      </c>
      <c r="N19" s="144">
        <f>23+11+12</f>
        <v>46</v>
      </c>
      <c r="O19" s="144">
        <v>3</v>
      </c>
      <c r="P19" s="140">
        <f>30+31+30</f>
        <v>91</v>
      </c>
      <c r="Q19" s="144">
        <f>20+17+12</f>
        <v>49</v>
      </c>
      <c r="R19" s="144">
        <v>3</v>
      </c>
      <c r="S19" s="140"/>
      <c r="T19" s="144"/>
      <c r="U19" s="144"/>
      <c r="V19" s="3">
        <f>D19+G19+J19+M19+P19+S19</f>
        <v>463</v>
      </c>
      <c r="W19" s="2">
        <f>E19+H19+K19+N19+Q19+T19</f>
        <v>230</v>
      </c>
      <c r="X19" s="140">
        <v>4</v>
      </c>
      <c r="Y19" s="258">
        <v>3</v>
      </c>
      <c r="Z19" s="141">
        <f>F19+I19+L19+O19+R19+U19</f>
        <v>16</v>
      </c>
    </row>
    <row r="20" spans="1:26" ht="30.6" x14ac:dyDescent="0.3">
      <c r="A20" s="238">
        <v>13</v>
      </c>
      <c r="B20" s="2" t="s">
        <v>30</v>
      </c>
      <c r="C20" s="239" t="s">
        <v>12</v>
      </c>
      <c r="D20" s="1">
        <f>33+32+31+30</f>
        <v>126</v>
      </c>
      <c r="E20" s="2">
        <f>12+17+18+19</f>
        <v>66</v>
      </c>
      <c r="F20" s="2">
        <v>4</v>
      </c>
      <c r="G20" s="3">
        <f>31+30+29+31</f>
        <v>121</v>
      </c>
      <c r="H20" s="2">
        <f>16+14+18+18</f>
        <v>66</v>
      </c>
      <c r="I20" s="2">
        <v>4</v>
      </c>
      <c r="J20" s="3">
        <f>29+28+31+27+27</f>
        <v>142</v>
      </c>
      <c r="K20" s="2">
        <f>16+15+19+15+12</f>
        <v>77</v>
      </c>
      <c r="L20" s="2">
        <v>5</v>
      </c>
      <c r="M20" s="3">
        <f>30+28+29+29</f>
        <v>116</v>
      </c>
      <c r="N20" s="2">
        <f>12+17+11+15</f>
        <v>55</v>
      </c>
      <c r="O20" s="2">
        <v>4</v>
      </c>
      <c r="P20" s="3">
        <f>30+29+31+28</f>
        <v>118</v>
      </c>
      <c r="Q20" s="2">
        <f>16+20+18+16</f>
        <v>70</v>
      </c>
      <c r="R20" s="2">
        <v>4</v>
      </c>
      <c r="S20" s="3"/>
      <c r="T20" s="2"/>
      <c r="U20" s="2"/>
      <c r="V20" s="3">
        <f>D20+G20+J20+M20+P20+S20</f>
        <v>623</v>
      </c>
      <c r="W20" s="2">
        <f>E20+H20+K20+N20+Q20+T20</f>
        <v>334</v>
      </c>
      <c r="X20" s="3">
        <v>2</v>
      </c>
      <c r="Y20" s="240">
        <v>2</v>
      </c>
      <c r="Z20" s="91">
        <f>F20+I20+L20+O20+R20+U20</f>
        <v>21</v>
      </c>
    </row>
    <row r="21" spans="1:26" ht="16.2" thickBot="1" x14ac:dyDescent="0.35">
      <c r="A21" s="241">
        <v>14</v>
      </c>
      <c r="B21" s="90" t="s">
        <v>30</v>
      </c>
      <c r="C21" s="242" t="s">
        <v>13</v>
      </c>
      <c r="D21" s="243">
        <f>29+28+30+27</f>
        <v>114</v>
      </c>
      <c r="E21" s="244">
        <f>29+28+30+27</f>
        <v>114</v>
      </c>
      <c r="F21" s="244">
        <v>4</v>
      </c>
      <c r="G21" s="243">
        <f>28+30+30+25</f>
        <v>113</v>
      </c>
      <c r="H21" s="244">
        <f>28+30+30+25</f>
        <v>113</v>
      </c>
      <c r="I21" s="244">
        <v>4</v>
      </c>
      <c r="J21" s="243">
        <f>29+22+27+27</f>
        <v>105</v>
      </c>
      <c r="K21" s="244">
        <f>29+22+27+27</f>
        <v>105</v>
      </c>
      <c r="L21" s="244">
        <v>4</v>
      </c>
      <c r="M21" s="243">
        <f>32+31+31</f>
        <v>94</v>
      </c>
      <c r="N21" s="244">
        <f>32+31+31</f>
        <v>94</v>
      </c>
      <c r="O21" s="244">
        <v>3</v>
      </c>
      <c r="P21" s="243">
        <f>28+28+26+1+27</f>
        <v>110</v>
      </c>
      <c r="Q21" s="244">
        <f>28+28+26+1+27</f>
        <v>110</v>
      </c>
      <c r="R21" s="244">
        <v>4</v>
      </c>
      <c r="S21" s="243"/>
      <c r="T21" s="244"/>
      <c r="U21" s="244"/>
      <c r="V21" s="243">
        <f>D21+G21+J21+M21+P21+S21</f>
        <v>536</v>
      </c>
      <c r="W21" s="244">
        <f>E21+H21+K21+N21+Q21+T21</f>
        <v>536</v>
      </c>
      <c r="X21" s="243">
        <v>2</v>
      </c>
      <c r="Y21" s="245">
        <v>2</v>
      </c>
      <c r="Z21" s="246">
        <f>F21+I21+L21+O21+R21+U21</f>
        <v>19</v>
      </c>
    </row>
    <row r="22" spans="1:26" ht="31.8" thickBot="1" x14ac:dyDescent="0.35">
      <c r="A22" s="247"/>
      <c r="B22" s="146" t="s">
        <v>30</v>
      </c>
      <c r="C22" s="248" t="s">
        <v>19</v>
      </c>
      <c r="D22" s="243">
        <f t="shared" ref="D22:R22" si="5">SUM(D19:D21)</f>
        <v>338</v>
      </c>
      <c r="E22" s="244">
        <f t="shared" si="5"/>
        <v>228</v>
      </c>
      <c r="F22" s="244">
        <f t="shared" si="5"/>
        <v>12</v>
      </c>
      <c r="G22" s="243">
        <f t="shared" si="5"/>
        <v>323</v>
      </c>
      <c r="H22" s="244">
        <f t="shared" si="5"/>
        <v>220</v>
      </c>
      <c r="I22" s="244">
        <f t="shared" si="5"/>
        <v>11</v>
      </c>
      <c r="J22" s="243">
        <f t="shared" si="5"/>
        <v>342</v>
      </c>
      <c r="K22" s="244">
        <f t="shared" si="5"/>
        <v>228</v>
      </c>
      <c r="L22" s="244">
        <f t="shared" si="5"/>
        <v>12</v>
      </c>
      <c r="M22" s="243">
        <f t="shared" si="5"/>
        <v>300</v>
      </c>
      <c r="N22" s="244">
        <f t="shared" si="5"/>
        <v>195</v>
      </c>
      <c r="O22" s="244">
        <f t="shared" si="5"/>
        <v>10</v>
      </c>
      <c r="P22" s="243">
        <f t="shared" si="5"/>
        <v>319</v>
      </c>
      <c r="Q22" s="244">
        <f t="shared" si="5"/>
        <v>229</v>
      </c>
      <c r="R22" s="244">
        <f t="shared" si="5"/>
        <v>11</v>
      </c>
      <c r="S22" s="243"/>
      <c r="T22" s="244"/>
      <c r="U22" s="244"/>
      <c r="V22" s="249">
        <f>D22+G22+J22+M22+P22+S22</f>
        <v>1622</v>
      </c>
      <c r="W22" s="108">
        <f>E22+H22+K22+N22+Q22+T22</f>
        <v>1100</v>
      </c>
      <c r="X22" s="243">
        <f>SUM(X19:X21)</f>
        <v>8</v>
      </c>
      <c r="Y22" s="245">
        <f>SUM(Y19:Y21)</f>
        <v>7</v>
      </c>
      <c r="Z22" s="246">
        <f>SUM(Z19:Z21)</f>
        <v>56</v>
      </c>
    </row>
    <row r="23" spans="1:26" ht="31.8" thickBot="1" x14ac:dyDescent="0.35">
      <c r="A23" s="247"/>
      <c r="B23" s="146" t="s">
        <v>30</v>
      </c>
      <c r="C23" s="248" t="s">
        <v>21</v>
      </c>
      <c r="D23" s="249">
        <v>1185</v>
      </c>
      <c r="E23" s="250">
        <v>554</v>
      </c>
      <c r="F23" s="250">
        <v>41</v>
      </c>
      <c r="G23" s="249">
        <v>1294</v>
      </c>
      <c r="H23" s="250">
        <v>599</v>
      </c>
      <c r="I23" s="250">
        <v>45</v>
      </c>
      <c r="J23" s="249">
        <v>1183</v>
      </c>
      <c r="K23" s="250">
        <v>553</v>
      </c>
      <c r="L23" s="250">
        <v>41</v>
      </c>
      <c r="M23" s="249">
        <v>1242</v>
      </c>
      <c r="N23" s="250">
        <v>611</v>
      </c>
      <c r="O23" s="250">
        <v>43</v>
      </c>
      <c r="P23" s="249">
        <v>1178</v>
      </c>
      <c r="Q23" s="250">
        <v>559</v>
      </c>
      <c r="R23" s="250">
        <v>42</v>
      </c>
      <c r="S23" s="249"/>
      <c r="T23" s="250"/>
      <c r="U23" s="250"/>
      <c r="V23" s="249">
        <f>D23+G23+J23+M23+P23</f>
        <v>6082</v>
      </c>
      <c r="W23" s="108">
        <f>E23+H23+K23+N23+Q23</f>
        <v>2876</v>
      </c>
      <c r="X23" s="249">
        <v>171</v>
      </c>
      <c r="Y23" s="251">
        <v>81</v>
      </c>
      <c r="Z23" s="252">
        <f>F23+I23+L23+O23+R23</f>
        <v>212</v>
      </c>
    </row>
    <row r="24" spans="1:26" ht="31.8" thickBot="1" x14ac:dyDescent="0.35">
      <c r="A24" s="247"/>
      <c r="B24" s="253" t="s">
        <v>30</v>
      </c>
      <c r="C24" s="248" t="s">
        <v>20</v>
      </c>
      <c r="D24" s="249">
        <f t="shared" ref="D24:R24" si="6">SUM(D22:D23)</f>
        <v>1523</v>
      </c>
      <c r="E24" s="249">
        <f t="shared" si="6"/>
        <v>782</v>
      </c>
      <c r="F24" s="243">
        <f t="shared" si="6"/>
        <v>53</v>
      </c>
      <c r="G24" s="249">
        <f t="shared" si="6"/>
        <v>1617</v>
      </c>
      <c r="H24" s="249">
        <f t="shared" si="6"/>
        <v>819</v>
      </c>
      <c r="I24" s="243">
        <f t="shared" si="6"/>
        <v>56</v>
      </c>
      <c r="J24" s="249">
        <f t="shared" si="6"/>
        <v>1525</v>
      </c>
      <c r="K24" s="249">
        <f t="shared" si="6"/>
        <v>781</v>
      </c>
      <c r="L24" s="243">
        <f t="shared" si="6"/>
        <v>53</v>
      </c>
      <c r="M24" s="249">
        <f t="shared" si="6"/>
        <v>1542</v>
      </c>
      <c r="N24" s="249">
        <f t="shared" si="6"/>
        <v>806</v>
      </c>
      <c r="O24" s="243">
        <f t="shared" si="6"/>
        <v>53</v>
      </c>
      <c r="P24" s="249">
        <f t="shared" si="6"/>
        <v>1497</v>
      </c>
      <c r="Q24" s="249">
        <f t="shared" si="6"/>
        <v>788</v>
      </c>
      <c r="R24" s="243">
        <f t="shared" si="6"/>
        <v>53</v>
      </c>
      <c r="S24" s="249"/>
      <c r="T24" s="249"/>
      <c r="U24" s="243"/>
      <c r="V24" s="249">
        <f t="shared" ref="V24:Z24" si="7">SUM(V22:V23)</f>
        <v>7704</v>
      </c>
      <c r="W24" s="249">
        <f t="shared" si="7"/>
        <v>3976</v>
      </c>
      <c r="X24" s="243">
        <f t="shared" si="7"/>
        <v>179</v>
      </c>
      <c r="Y24" s="254">
        <f t="shared" si="7"/>
        <v>88</v>
      </c>
      <c r="Z24" s="255">
        <f t="shared" si="7"/>
        <v>268</v>
      </c>
    </row>
    <row r="25" spans="1:26" ht="15.6" x14ac:dyDescent="0.3">
      <c r="A25" s="256">
        <v>12</v>
      </c>
      <c r="B25" s="146" t="s">
        <v>32</v>
      </c>
      <c r="C25" s="257" t="s">
        <v>11</v>
      </c>
      <c r="D25" s="140">
        <f>27+26+26+28</f>
        <v>107</v>
      </c>
      <c r="E25" s="144">
        <f>10+15+12+15</f>
        <v>52</v>
      </c>
      <c r="F25" s="144">
        <v>4</v>
      </c>
      <c r="G25" s="140">
        <f>24+24+24+24</f>
        <v>96</v>
      </c>
      <c r="H25" s="144">
        <f>13+14+9+10</f>
        <v>46</v>
      </c>
      <c r="I25" s="144">
        <v>4</v>
      </c>
      <c r="J25" s="140">
        <f>29+30+31</f>
        <v>90</v>
      </c>
      <c r="K25" s="144">
        <f>12+14+16</f>
        <v>42</v>
      </c>
      <c r="L25" s="144">
        <v>3</v>
      </c>
      <c r="M25" s="140">
        <f>32+32+32</f>
        <v>96</v>
      </c>
      <c r="N25" s="144">
        <f>15+12+13</f>
        <v>40</v>
      </c>
      <c r="O25" s="144">
        <v>3</v>
      </c>
      <c r="P25" s="140">
        <f>30+29+32</f>
        <v>91</v>
      </c>
      <c r="Q25" s="144">
        <f>23+11+13</f>
        <v>47</v>
      </c>
      <c r="R25" s="144">
        <v>3</v>
      </c>
      <c r="S25" s="140"/>
      <c r="T25" s="144"/>
      <c r="U25" s="144"/>
      <c r="V25" s="3">
        <f>D25+G25+J25+M25+P25+S25</f>
        <v>480</v>
      </c>
      <c r="W25" s="2">
        <f>E25+H25+K25+N25+Q25+T25</f>
        <v>227</v>
      </c>
      <c r="X25" s="140">
        <v>2</v>
      </c>
      <c r="Y25" s="258">
        <v>1</v>
      </c>
      <c r="Z25" s="141">
        <f>F25+I25+L25+O25+R25+U25</f>
        <v>17</v>
      </c>
    </row>
    <row r="26" spans="1:26" ht="30.6" x14ac:dyDescent="0.3">
      <c r="A26" s="238">
        <v>13</v>
      </c>
      <c r="B26" s="2" t="s">
        <v>32</v>
      </c>
      <c r="C26" s="239" t="s">
        <v>12</v>
      </c>
      <c r="D26" s="1">
        <f>26+28+27+27+26</f>
        <v>134</v>
      </c>
      <c r="E26" s="2">
        <f>13+19+11+15+18</f>
        <v>76</v>
      </c>
      <c r="F26" s="2">
        <v>5</v>
      </c>
      <c r="G26" s="3">
        <f>33+1+31+31+29</f>
        <v>125</v>
      </c>
      <c r="H26" s="2">
        <f>12+17+0+17+19</f>
        <v>65</v>
      </c>
      <c r="I26" s="2">
        <v>4</v>
      </c>
      <c r="J26" s="3">
        <f>30+30+28+1+31</f>
        <v>120</v>
      </c>
      <c r="K26" s="2">
        <f>16+13+18+0+18</f>
        <v>65</v>
      </c>
      <c r="L26" s="2">
        <v>4</v>
      </c>
      <c r="M26" s="3">
        <f>30+26+31+28+28</f>
        <v>143</v>
      </c>
      <c r="N26" s="2">
        <f>17+14+19+15+13</f>
        <v>78</v>
      </c>
      <c r="O26" s="2">
        <v>5</v>
      </c>
      <c r="P26" s="3">
        <f>29+28+26+29</f>
        <v>112</v>
      </c>
      <c r="Q26" s="2">
        <f>12+17+8+15</f>
        <v>52</v>
      </c>
      <c r="R26" s="2">
        <v>4</v>
      </c>
      <c r="S26" s="3"/>
      <c r="T26" s="2"/>
      <c r="U26" s="2"/>
      <c r="V26" s="3">
        <f>D26+G26+J26+M26+P26+S26</f>
        <v>634</v>
      </c>
      <c r="W26" s="2">
        <f>E26+H26+K26+N26+Q26+T26</f>
        <v>336</v>
      </c>
      <c r="X26" s="3">
        <v>2</v>
      </c>
      <c r="Y26" s="240">
        <v>2</v>
      </c>
      <c r="Z26" s="91">
        <f>F26+I26+L26+O26+R26+U26</f>
        <v>22</v>
      </c>
    </row>
    <row r="27" spans="1:26" ht="16.2" thickBot="1" x14ac:dyDescent="0.35">
      <c r="A27" s="241">
        <v>14</v>
      </c>
      <c r="B27" s="90" t="s">
        <v>32</v>
      </c>
      <c r="C27" s="242" t="s">
        <v>13</v>
      </c>
      <c r="D27" s="243">
        <f>19+27+26+28+27</f>
        <v>127</v>
      </c>
      <c r="E27" s="244">
        <v>127</v>
      </c>
      <c r="F27" s="244">
        <v>5</v>
      </c>
      <c r="G27" s="243">
        <f>30+29+30+27</f>
        <v>116</v>
      </c>
      <c r="H27" s="244">
        <v>116</v>
      </c>
      <c r="I27" s="244">
        <v>4</v>
      </c>
      <c r="J27" s="243">
        <f>29+29+30+26</f>
        <v>114</v>
      </c>
      <c r="K27" s="244">
        <v>114</v>
      </c>
      <c r="L27" s="244">
        <v>4</v>
      </c>
      <c r="M27" s="243">
        <f>30+23+26+27</f>
        <v>106</v>
      </c>
      <c r="N27" s="244">
        <v>106</v>
      </c>
      <c r="O27" s="244">
        <v>4</v>
      </c>
      <c r="P27" s="243">
        <f>30+30+31</f>
        <v>91</v>
      </c>
      <c r="Q27" s="244">
        <v>91</v>
      </c>
      <c r="R27" s="244">
        <v>3</v>
      </c>
      <c r="S27" s="243"/>
      <c r="T27" s="244"/>
      <c r="U27" s="244"/>
      <c r="V27" s="243">
        <f>D27+G27+J27+M27+P27+S27</f>
        <v>554</v>
      </c>
      <c r="W27" s="244">
        <f>E27+H27+K27+N27+Q27+T27</f>
        <v>554</v>
      </c>
      <c r="X27" s="243">
        <v>6</v>
      </c>
      <c r="Y27" s="245">
        <v>6</v>
      </c>
      <c r="Z27" s="246">
        <f>F27+I27+L27+O27+R27+U27</f>
        <v>20</v>
      </c>
    </row>
    <row r="28" spans="1:26" ht="31.8" thickBot="1" x14ac:dyDescent="0.35">
      <c r="A28" s="247"/>
      <c r="B28" s="146" t="s">
        <v>32</v>
      </c>
      <c r="C28" s="248" t="s">
        <v>19</v>
      </c>
      <c r="D28" s="243">
        <f>D25+D26+D27</f>
        <v>368</v>
      </c>
      <c r="E28" s="244">
        <f t="shared" ref="E28:R28" si="8">SUM(E25:E27)</f>
        <v>255</v>
      </c>
      <c r="F28" s="244">
        <f t="shared" si="8"/>
        <v>14</v>
      </c>
      <c r="G28" s="243">
        <f t="shared" si="8"/>
        <v>337</v>
      </c>
      <c r="H28" s="244">
        <f t="shared" si="8"/>
        <v>227</v>
      </c>
      <c r="I28" s="244">
        <f t="shared" si="8"/>
        <v>12</v>
      </c>
      <c r="J28" s="243">
        <f t="shared" si="8"/>
        <v>324</v>
      </c>
      <c r="K28" s="244">
        <f t="shared" si="8"/>
        <v>221</v>
      </c>
      <c r="L28" s="244">
        <f t="shared" si="8"/>
        <v>11</v>
      </c>
      <c r="M28" s="243">
        <f t="shared" si="8"/>
        <v>345</v>
      </c>
      <c r="N28" s="244">
        <f t="shared" si="8"/>
        <v>224</v>
      </c>
      <c r="O28" s="244">
        <f t="shared" si="8"/>
        <v>12</v>
      </c>
      <c r="P28" s="243">
        <f t="shared" si="8"/>
        <v>294</v>
      </c>
      <c r="Q28" s="244">
        <f t="shared" si="8"/>
        <v>190</v>
      </c>
      <c r="R28" s="244">
        <f t="shared" si="8"/>
        <v>10</v>
      </c>
      <c r="S28" s="243"/>
      <c r="T28" s="244"/>
      <c r="U28" s="244"/>
      <c r="V28" s="249">
        <f>D28+G28+J28+M28+P28+S28</f>
        <v>1668</v>
      </c>
      <c r="W28" s="108">
        <f>E28+H28+K28+N28+Q28+T28</f>
        <v>1117</v>
      </c>
      <c r="X28" s="243">
        <f>SUM(X25:X27)</f>
        <v>10</v>
      </c>
      <c r="Y28" s="245">
        <f>SUM(Y25:Y27)</f>
        <v>9</v>
      </c>
      <c r="Z28" s="246">
        <f>SUM(Z25:Z27)</f>
        <v>59</v>
      </c>
    </row>
    <row r="29" spans="1:26" ht="31.8" thickBot="1" x14ac:dyDescent="0.35">
      <c r="A29" s="247"/>
      <c r="B29" s="146" t="s">
        <v>32</v>
      </c>
      <c r="C29" s="248" t="s">
        <v>21</v>
      </c>
      <c r="D29" s="249">
        <v>1182</v>
      </c>
      <c r="E29" s="250">
        <v>555</v>
      </c>
      <c r="F29" s="250">
        <v>43</v>
      </c>
      <c r="G29" s="249">
        <v>1192</v>
      </c>
      <c r="H29" s="250">
        <v>560</v>
      </c>
      <c r="I29" s="250">
        <v>41</v>
      </c>
      <c r="J29" s="249">
        <v>1252</v>
      </c>
      <c r="K29" s="250">
        <v>585</v>
      </c>
      <c r="L29" s="250">
        <v>45</v>
      </c>
      <c r="M29" s="249">
        <v>1179</v>
      </c>
      <c r="N29" s="250">
        <v>546</v>
      </c>
      <c r="O29" s="250">
        <v>41</v>
      </c>
      <c r="P29" s="249">
        <v>1217</v>
      </c>
      <c r="Q29" s="250">
        <v>604</v>
      </c>
      <c r="R29" s="250">
        <v>44</v>
      </c>
      <c r="S29" s="249"/>
      <c r="T29" s="250"/>
      <c r="U29" s="250"/>
      <c r="V29" s="249">
        <f>D29+G29+J29+M29+P29</f>
        <v>6022</v>
      </c>
      <c r="W29" s="108">
        <f>E29+H29+K29+N29+Q29</f>
        <v>2850</v>
      </c>
      <c r="X29" s="249">
        <v>183</v>
      </c>
      <c r="Y29" s="251">
        <v>90</v>
      </c>
      <c r="Z29" s="252">
        <f>F29+I29+L29+O29+R29</f>
        <v>214</v>
      </c>
    </row>
    <row r="30" spans="1:26" ht="31.2" x14ac:dyDescent="0.3">
      <c r="A30" s="259"/>
      <c r="B30" s="146" t="s">
        <v>32</v>
      </c>
      <c r="C30" s="260" t="s">
        <v>20</v>
      </c>
      <c r="D30" s="261">
        <f t="shared" ref="D30:R30" si="9">SUM(D28:D29)</f>
        <v>1550</v>
      </c>
      <c r="E30" s="261">
        <f t="shared" si="9"/>
        <v>810</v>
      </c>
      <c r="F30" s="159">
        <f t="shared" si="9"/>
        <v>57</v>
      </c>
      <c r="G30" s="261">
        <f t="shared" si="9"/>
        <v>1529</v>
      </c>
      <c r="H30" s="261">
        <f t="shared" si="9"/>
        <v>787</v>
      </c>
      <c r="I30" s="159">
        <f t="shared" si="9"/>
        <v>53</v>
      </c>
      <c r="J30" s="261">
        <f t="shared" si="9"/>
        <v>1576</v>
      </c>
      <c r="K30" s="261">
        <f t="shared" si="9"/>
        <v>806</v>
      </c>
      <c r="L30" s="159">
        <f t="shared" si="9"/>
        <v>56</v>
      </c>
      <c r="M30" s="261">
        <f t="shared" si="9"/>
        <v>1524</v>
      </c>
      <c r="N30" s="261">
        <f t="shared" si="9"/>
        <v>770</v>
      </c>
      <c r="O30" s="159">
        <f t="shared" si="9"/>
        <v>53</v>
      </c>
      <c r="P30" s="261">
        <f t="shared" si="9"/>
        <v>1511</v>
      </c>
      <c r="Q30" s="261">
        <f t="shared" si="9"/>
        <v>794</v>
      </c>
      <c r="R30" s="159">
        <f t="shared" si="9"/>
        <v>54</v>
      </c>
      <c r="S30" s="261"/>
      <c r="T30" s="261"/>
      <c r="U30" s="159"/>
      <c r="V30" s="261">
        <f t="shared" ref="V30:Z30" si="10">SUM(V28:V29)</f>
        <v>7690</v>
      </c>
      <c r="W30" s="261">
        <f t="shared" si="10"/>
        <v>3967</v>
      </c>
      <c r="X30" s="159">
        <f t="shared" si="10"/>
        <v>193</v>
      </c>
      <c r="Y30" s="262">
        <f t="shared" si="10"/>
        <v>99</v>
      </c>
      <c r="Z30" s="263">
        <f t="shared" si="10"/>
        <v>273</v>
      </c>
    </row>
    <row r="31" spans="1:26" ht="15.6" x14ac:dyDescent="0.3">
      <c r="A31" s="238">
        <v>12</v>
      </c>
      <c r="B31" s="160" t="s">
        <v>33</v>
      </c>
      <c r="C31" s="264" t="s">
        <v>11</v>
      </c>
      <c r="D31" s="3">
        <v>86</v>
      </c>
      <c r="E31" s="2">
        <v>52</v>
      </c>
      <c r="F31" s="2">
        <v>3</v>
      </c>
      <c r="G31" s="3">
        <v>111</v>
      </c>
      <c r="H31" s="2">
        <v>54</v>
      </c>
      <c r="I31" s="2">
        <v>4</v>
      </c>
      <c r="J31" s="3">
        <v>98</v>
      </c>
      <c r="K31" s="2">
        <v>49</v>
      </c>
      <c r="L31" s="2">
        <v>4</v>
      </c>
      <c r="M31" s="3">
        <v>89</v>
      </c>
      <c r="N31" s="2">
        <v>41</v>
      </c>
      <c r="O31" s="2">
        <v>3</v>
      </c>
      <c r="P31" s="3">
        <v>94</v>
      </c>
      <c r="Q31" s="2">
        <v>44</v>
      </c>
      <c r="R31" s="2">
        <v>3</v>
      </c>
      <c r="S31" s="328"/>
      <c r="T31" s="329"/>
      <c r="U31" s="330"/>
      <c r="V31" s="3">
        <f>D31+G31+J31+M31+P31+S31</f>
        <v>478</v>
      </c>
      <c r="W31" s="2">
        <f>E31+H31+K31+N31+Q31+T31</f>
        <v>240</v>
      </c>
      <c r="X31" s="3">
        <v>3</v>
      </c>
      <c r="Y31" s="240">
        <v>1</v>
      </c>
      <c r="Z31" s="99">
        <f>F31+I31+L31+O31+R31+U31</f>
        <v>17</v>
      </c>
    </row>
    <row r="32" spans="1:26" ht="33" x14ac:dyDescent="0.3">
      <c r="A32" s="238">
        <v>13</v>
      </c>
      <c r="B32" s="2" t="s">
        <v>33</v>
      </c>
      <c r="C32" s="239" t="s">
        <v>35</v>
      </c>
      <c r="D32" s="1">
        <v>127</v>
      </c>
      <c r="E32" s="2">
        <v>79</v>
      </c>
      <c r="F32" s="2">
        <v>4</v>
      </c>
      <c r="G32" s="3">
        <v>137</v>
      </c>
      <c r="H32" s="2">
        <v>77</v>
      </c>
      <c r="I32" s="2">
        <v>5</v>
      </c>
      <c r="J32" s="3">
        <v>123</v>
      </c>
      <c r="K32" s="2">
        <v>64</v>
      </c>
      <c r="L32" s="2">
        <v>4</v>
      </c>
      <c r="M32" s="3">
        <v>119</v>
      </c>
      <c r="N32" s="2">
        <v>64</v>
      </c>
      <c r="O32" s="2">
        <v>4</v>
      </c>
      <c r="P32" s="3">
        <v>142</v>
      </c>
      <c r="Q32" s="2">
        <v>76</v>
      </c>
      <c r="R32" s="2">
        <v>5</v>
      </c>
      <c r="S32" s="331"/>
      <c r="T32" s="332"/>
      <c r="U32" s="333"/>
      <c r="V32" s="3">
        <f>D32+G32+J32+M32+P32+S32</f>
        <v>648</v>
      </c>
      <c r="W32" s="2">
        <f>E32+H32+K32+N32+Q32+T32</f>
        <v>360</v>
      </c>
      <c r="X32" s="3">
        <v>2</v>
      </c>
      <c r="Y32" s="240">
        <v>2</v>
      </c>
      <c r="Z32" s="91">
        <f>F32+I32+L32+O32+R32+U32</f>
        <v>22</v>
      </c>
    </row>
    <row r="33" spans="1:26" ht="16.2" thickBot="1" x14ac:dyDescent="0.35">
      <c r="A33" s="241">
        <v>14</v>
      </c>
      <c r="B33" s="90" t="s">
        <v>33</v>
      </c>
      <c r="C33" s="242" t="s">
        <v>13</v>
      </c>
      <c r="D33" s="243">
        <v>103</v>
      </c>
      <c r="E33" s="244">
        <v>103</v>
      </c>
      <c r="F33" s="244">
        <v>4</v>
      </c>
      <c r="G33" s="243">
        <v>133</v>
      </c>
      <c r="H33" s="244">
        <v>133</v>
      </c>
      <c r="I33" s="244">
        <v>5</v>
      </c>
      <c r="J33" s="243">
        <v>113</v>
      </c>
      <c r="K33" s="244">
        <v>113</v>
      </c>
      <c r="L33" s="244">
        <v>4</v>
      </c>
      <c r="M33" s="243">
        <v>114</v>
      </c>
      <c r="N33" s="244">
        <v>114</v>
      </c>
      <c r="O33" s="244">
        <v>4</v>
      </c>
      <c r="P33" s="243">
        <v>103</v>
      </c>
      <c r="Q33" s="244">
        <v>103</v>
      </c>
      <c r="R33" s="244">
        <v>4</v>
      </c>
      <c r="S33" s="331"/>
      <c r="T33" s="332"/>
      <c r="U33" s="333"/>
      <c r="V33" s="243">
        <f>D33+G33+J33+M33+P33+S33</f>
        <v>566</v>
      </c>
      <c r="W33" s="244">
        <f>E33+H33+K33+N33+Q33+T33</f>
        <v>566</v>
      </c>
      <c r="X33" s="243">
        <v>5</v>
      </c>
      <c r="Y33" s="245">
        <v>5</v>
      </c>
      <c r="Z33" s="246">
        <f>F33+I33+L33+O33+R33+U33</f>
        <v>21</v>
      </c>
    </row>
    <row r="34" spans="1:26" ht="31.8" thickBot="1" x14ac:dyDescent="0.35">
      <c r="A34" s="247"/>
      <c r="B34" s="146" t="s">
        <v>33</v>
      </c>
      <c r="C34" s="248" t="s">
        <v>19</v>
      </c>
      <c r="D34" s="243">
        <f>D31+D32+D33</f>
        <v>316</v>
      </c>
      <c r="E34" s="244">
        <f t="shared" ref="E34:R34" si="11">SUM(E31:E33)</f>
        <v>234</v>
      </c>
      <c r="F34" s="244">
        <f t="shared" si="11"/>
        <v>11</v>
      </c>
      <c r="G34" s="243">
        <f t="shared" si="11"/>
        <v>381</v>
      </c>
      <c r="H34" s="244">
        <f t="shared" si="11"/>
        <v>264</v>
      </c>
      <c r="I34" s="244">
        <f t="shared" si="11"/>
        <v>14</v>
      </c>
      <c r="J34" s="243">
        <f t="shared" si="11"/>
        <v>334</v>
      </c>
      <c r="K34" s="244">
        <f t="shared" si="11"/>
        <v>226</v>
      </c>
      <c r="L34" s="244">
        <f t="shared" si="11"/>
        <v>12</v>
      </c>
      <c r="M34" s="243">
        <f t="shared" si="11"/>
        <v>322</v>
      </c>
      <c r="N34" s="244">
        <f t="shared" si="11"/>
        <v>219</v>
      </c>
      <c r="O34" s="244">
        <f t="shared" si="11"/>
        <v>11</v>
      </c>
      <c r="P34" s="243">
        <f t="shared" si="11"/>
        <v>339</v>
      </c>
      <c r="Q34" s="244">
        <f t="shared" si="11"/>
        <v>223</v>
      </c>
      <c r="R34" s="244">
        <f t="shared" si="11"/>
        <v>12</v>
      </c>
      <c r="S34" s="331"/>
      <c r="T34" s="332"/>
      <c r="U34" s="333"/>
      <c r="V34" s="249">
        <f>D34+G34+J34+M34+P34+S34</f>
        <v>1692</v>
      </c>
      <c r="W34" s="108">
        <f>E34+H34+K34+N34+Q34+T34</f>
        <v>1166</v>
      </c>
      <c r="X34" s="243">
        <f>SUM(X31:X33)</f>
        <v>10</v>
      </c>
      <c r="Y34" s="245">
        <f>SUM(Y31:Y33)</f>
        <v>8</v>
      </c>
      <c r="Z34" s="246">
        <f>SUM(Z31:Z33)</f>
        <v>60</v>
      </c>
    </row>
    <row r="35" spans="1:26" ht="31.8" thickBot="1" x14ac:dyDescent="0.35">
      <c r="A35" s="247"/>
      <c r="B35" s="146" t="s">
        <v>33</v>
      </c>
      <c r="C35" s="248" t="s">
        <v>21</v>
      </c>
      <c r="D35" s="249">
        <v>1129</v>
      </c>
      <c r="E35" s="250">
        <v>559</v>
      </c>
      <c r="F35" s="250">
        <v>40</v>
      </c>
      <c r="G35" s="249">
        <v>1194</v>
      </c>
      <c r="H35" s="250">
        <v>553</v>
      </c>
      <c r="I35" s="250">
        <v>43</v>
      </c>
      <c r="J35" s="249">
        <v>1150</v>
      </c>
      <c r="K35" s="250">
        <v>548</v>
      </c>
      <c r="L35" s="250">
        <v>42</v>
      </c>
      <c r="M35" s="249">
        <v>1224</v>
      </c>
      <c r="N35" s="250">
        <v>572</v>
      </c>
      <c r="O35" s="250">
        <v>45</v>
      </c>
      <c r="P35" s="249">
        <v>1169</v>
      </c>
      <c r="Q35" s="250">
        <v>542</v>
      </c>
      <c r="R35" s="250">
        <v>41</v>
      </c>
      <c r="S35" s="331"/>
      <c r="T35" s="332"/>
      <c r="U35" s="333"/>
      <c r="V35" s="249">
        <f>D35+G35+J35+M35+P35</f>
        <v>5866</v>
      </c>
      <c r="W35" s="108">
        <f>E35+H35+K35+N35+Q35</f>
        <v>2774</v>
      </c>
      <c r="X35" s="249">
        <v>193</v>
      </c>
      <c r="Y35" s="251">
        <v>90</v>
      </c>
      <c r="Z35" s="252">
        <v>211</v>
      </c>
    </row>
    <row r="36" spans="1:26" ht="47.4" thickBot="1" x14ac:dyDescent="0.35">
      <c r="A36" s="247"/>
      <c r="B36" s="253" t="s">
        <v>33</v>
      </c>
      <c r="C36" s="248" t="s">
        <v>34</v>
      </c>
      <c r="D36" s="249">
        <f t="shared" ref="D36:R36" si="12">SUM(D34:D35)</f>
        <v>1445</v>
      </c>
      <c r="E36" s="249">
        <f t="shared" si="12"/>
        <v>793</v>
      </c>
      <c r="F36" s="243">
        <f t="shared" si="12"/>
        <v>51</v>
      </c>
      <c r="G36" s="249">
        <f t="shared" si="12"/>
        <v>1575</v>
      </c>
      <c r="H36" s="249">
        <f t="shared" si="12"/>
        <v>817</v>
      </c>
      <c r="I36" s="243">
        <f t="shared" si="12"/>
        <v>57</v>
      </c>
      <c r="J36" s="249">
        <f t="shared" si="12"/>
        <v>1484</v>
      </c>
      <c r="K36" s="249">
        <f t="shared" si="12"/>
        <v>774</v>
      </c>
      <c r="L36" s="243">
        <f t="shared" si="12"/>
        <v>54</v>
      </c>
      <c r="M36" s="249">
        <f t="shared" si="12"/>
        <v>1546</v>
      </c>
      <c r="N36" s="249">
        <f t="shared" si="12"/>
        <v>791</v>
      </c>
      <c r="O36" s="243">
        <f t="shared" si="12"/>
        <v>56</v>
      </c>
      <c r="P36" s="249">
        <f t="shared" si="12"/>
        <v>1508</v>
      </c>
      <c r="Q36" s="249">
        <f t="shared" si="12"/>
        <v>765</v>
      </c>
      <c r="R36" s="243">
        <f t="shared" si="12"/>
        <v>53</v>
      </c>
      <c r="S36" s="334"/>
      <c r="T36" s="335"/>
      <c r="U36" s="336"/>
      <c r="V36" s="249">
        <f t="shared" ref="V36:Z36" si="13">SUM(V34:V35)</f>
        <v>7558</v>
      </c>
      <c r="W36" s="249">
        <f t="shared" si="13"/>
        <v>3940</v>
      </c>
      <c r="X36" s="243">
        <f t="shared" si="13"/>
        <v>203</v>
      </c>
      <c r="Y36" s="254">
        <f t="shared" si="13"/>
        <v>98</v>
      </c>
      <c r="Z36" s="255">
        <f t="shared" si="13"/>
        <v>271</v>
      </c>
    </row>
    <row r="37" spans="1:26" ht="16.2" x14ac:dyDescent="0.25">
      <c r="A37" s="265" t="s">
        <v>36</v>
      </c>
    </row>
    <row r="38" spans="1:26" ht="15.6" x14ac:dyDescent="0.3">
      <c r="A38" s="238">
        <v>12</v>
      </c>
      <c r="B38" s="160" t="s">
        <v>42</v>
      </c>
      <c r="C38" s="264" t="s">
        <v>11</v>
      </c>
      <c r="D38" s="3">
        <v>103</v>
      </c>
      <c r="E38" s="2">
        <v>37</v>
      </c>
      <c r="F38" s="2">
        <v>4</v>
      </c>
      <c r="G38" s="3">
        <v>90</v>
      </c>
      <c r="H38" s="2">
        <v>55</v>
      </c>
      <c r="I38" s="2">
        <v>3</v>
      </c>
      <c r="J38" s="3">
        <v>110</v>
      </c>
      <c r="K38" s="2">
        <v>52</v>
      </c>
      <c r="L38" s="2">
        <v>4</v>
      </c>
      <c r="M38" s="3">
        <v>96</v>
      </c>
      <c r="N38" s="2">
        <v>48</v>
      </c>
      <c r="O38" s="2">
        <v>4</v>
      </c>
      <c r="P38" s="3">
        <v>90</v>
      </c>
      <c r="Q38" s="2">
        <v>42</v>
      </c>
      <c r="R38" s="2">
        <v>3</v>
      </c>
      <c r="S38" s="328"/>
      <c r="T38" s="329"/>
      <c r="U38" s="330"/>
      <c r="V38" s="3">
        <f>D38+G38+J38+M38+P38+S38</f>
        <v>489</v>
      </c>
      <c r="W38" s="2">
        <f>E38+H38+K38+N38+Q38+T38</f>
        <v>234</v>
      </c>
      <c r="X38" s="3">
        <v>4</v>
      </c>
      <c r="Y38" s="240">
        <v>1</v>
      </c>
      <c r="Z38" s="99">
        <f>F38+I38+L38+O38+R38+U38</f>
        <v>18</v>
      </c>
    </row>
    <row r="39" spans="1:26" ht="30.6" x14ac:dyDescent="0.3">
      <c r="A39" s="238">
        <v>13</v>
      </c>
      <c r="B39" s="2" t="s">
        <v>42</v>
      </c>
      <c r="C39" s="239" t="s">
        <v>12</v>
      </c>
      <c r="D39" s="1">
        <v>122</v>
      </c>
      <c r="E39" s="2">
        <v>57</v>
      </c>
      <c r="F39" s="2">
        <v>4</v>
      </c>
      <c r="G39" s="3">
        <v>129</v>
      </c>
      <c r="H39" s="2">
        <v>79</v>
      </c>
      <c r="I39" s="2">
        <v>4</v>
      </c>
      <c r="J39" s="3">
        <v>132</v>
      </c>
      <c r="K39" s="2">
        <v>76</v>
      </c>
      <c r="L39" s="2">
        <v>5</v>
      </c>
      <c r="M39" s="3">
        <v>128</v>
      </c>
      <c r="N39" s="2">
        <v>65</v>
      </c>
      <c r="O39" s="2">
        <v>4</v>
      </c>
      <c r="P39" s="3">
        <v>117</v>
      </c>
      <c r="Q39" s="2">
        <v>64</v>
      </c>
      <c r="R39" s="2">
        <v>4</v>
      </c>
      <c r="S39" s="331"/>
      <c r="T39" s="332"/>
      <c r="U39" s="333"/>
      <c r="V39" s="3">
        <f>D39+G39+J39+M39+P39+S39</f>
        <v>628</v>
      </c>
      <c r="W39" s="2">
        <f>E39+H39+K39+N39+Q39+T39</f>
        <v>341</v>
      </c>
      <c r="X39" s="3">
        <v>2</v>
      </c>
      <c r="Y39" s="240">
        <v>1</v>
      </c>
      <c r="Z39" s="91">
        <f>F39+I39+L39+O39+R39+U39</f>
        <v>21</v>
      </c>
    </row>
    <row r="40" spans="1:26" ht="16.2" thickBot="1" x14ac:dyDescent="0.35">
      <c r="A40" s="241">
        <v>14</v>
      </c>
      <c r="B40" s="90" t="s">
        <v>42</v>
      </c>
      <c r="C40" s="242" t="s">
        <v>13</v>
      </c>
      <c r="D40" s="243">
        <v>113</v>
      </c>
      <c r="E40" s="244">
        <v>113</v>
      </c>
      <c r="F40" s="244">
        <v>4</v>
      </c>
      <c r="G40" s="243">
        <v>103</v>
      </c>
      <c r="H40" s="244">
        <v>103</v>
      </c>
      <c r="I40" s="244">
        <v>4</v>
      </c>
      <c r="J40" s="243">
        <v>130</v>
      </c>
      <c r="K40" s="244">
        <v>130</v>
      </c>
      <c r="L40" s="244">
        <v>5</v>
      </c>
      <c r="M40" s="243">
        <v>113</v>
      </c>
      <c r="N40" s="244">
        <v>113</v>
      </c>
      <c r="O40" s="244">
        <v>4</v>
      </c>
      <c r="P40" s="243">
        <v>114</v>
      </c>
      <c r="Q40" s="244">
        <v>114</v>
      </c>
      <c r="R40" s="244">
        <v>4</v>
      </c>
      <c r="S40" s="331"/>
      <c r="T40" s="332"/>
      <c r="U40" s="333"/>
      <c r="V40" s="243">
        <f>D40+G40+J40+M40+P40+S40</f>
        <v>573</v>
      </c>
      <c r="W40" s="244">
        <f>E40+H40+K40+N40+Q40+T40</f>
        <v>573</v>
      </c>
      <c r="X40" s="243">
        <v>10</v>
      </c>
      <c r="Y40" s="245">
        <v>10</v>
      </c>
      <c r="Z40" s="246">
        <f>F40+I40+L40+O40+R40+U40</f>
        <v>21</v>
      </c>
    </row>
    <row r="41" spans="1:26" ht="31.8" thickBot="1" x14ac:dyDescent="0.35">
      <c r="A41" s="247"/>
      <c r="B41" s="146" t="s">
        <v>42</v>
      </c>
      <c r="C41" s="248" t="s">
        <v>19</v>
      </c>
      <c r="D41" s="243">
        <f>D38+D39+D40</f>
        <v>338</v>
      </c>
      <c r="E41" s="244">
        <f t="shared" ref="E41:R41" si="14">SUM(E38:E40)</f>
        <v>207</v>
      </c>
      <c r="F41" s="244">
        <f t="shared" si="14"/>
        <v>12</v>
      </c>
      <c r="G41" s="243">
        <f t="shared" si="14"/>
        <v>322</v>
      </c>
      <c r="H41" s="244">
        <f t="shared" si="14"/>
        <v>237</v>
      </c>
      <c r="I41" s="244">
        <f t="shared" si="14"/>
        <v>11</v>
      </c>
      <c r="J41" s="243">
        <f t="shared" si="14"/>
        <v>372</v>
      </c>
      <c r="K41" s="244">
        <f t="shared" si="14"/>
        <v>258</v>
      </c>
      <c r="L41" s="244">
        <f t="shared" si="14"/>
        <v>14</v>
      </c>
      <c r="M41" s="243">
        <f t="shared" si="14"/>
        <v>337</v>
      </c>
      <c r="N41" s="244">
        <f t="shared" si="14"/>
        <v>226</v>
      </c>
      <c r="O41" s="244">
        <f t="shared" si="14"/>
        <v>12</v>
      </c>
      <c r="P41" s="243">
        <f t="shared" si="14"/>
        <v>321</v>
      </c>
      <c r="Q41" s="244">
        <f t="shared" si="14"/>
        <v>220</v>
      </c>
      <c r="R41" s="244">
        <f t="shared" si="14"/>
        <v>11</v>
      </c>
      <c r="S41" s="331"/>
      <c r="T41" s="332"/>
      <c r="U41" s="333"/>
      <c r="V41" s="249">
        <f>D41+G41+J41+M41+P41+S41</f>
        <v>1690</v>
      </c>
      <c r="W41" s="108">
        <f>E41+H41+K41+N41+Q41+T41</f>
        <v>1148</v>
      </c>
      <c r="X41" s="243">
        <f>SUM(X38:X40)</f>
        <v>16</v>
      </c>
      <c r="Y41" s="245">
        <f>SUM(Y38:Y40)</f>
        <v>12</v>
      </c>
      <c r="Z41" s="246">
        <f>F41+I41+L41+O41+R41+U41</f>
        <v>60</v>
      </c>
    </row>
    <row r="42" spans="1:26" ht="31.8" thickBot="1" x14ac:dyDescent="0.35">
      <c r="A42" s="247"/>
      <c r="B42" s="146" t="s">
        <v>42</v>
      </c>
      <c r="C42" s="248" t="s">
        <v>21</v>
      </c>
      <c r="D42" s="249">
        <v>1116</v>
      </c>
      <c r="E42" s="250">
        <v>498</v>
      </c>
      <c r="F42" s="250">
        <v>41</v>
      </c>
      <c r="G42" s="249">
        <v>1147</v>
      </c>
      <c r="H42" s="250">
        <v>567</v>
      </c>
      <c r="I42" s="250">
        <v>40</v>
      </c>
      <c r="J42" s="249">
        <v>1146</v>
      </c>
      <c r="K42" s="250">
        <v>543</v>
      </c>
      <c r="L42" s="250">
        <v>43</v>
      </c>
      <c r="M42" s="249">
        <v>1145</v>
      </c>
      <c r="N42" s="250">
        <v>538</v>
      </c>
      <c r="O42" s="250">
        <v>42</v>
      </c>
      <c r="P42" s="249">
        <v>1196</v>
      </c>
      <c r="Q42" s="250">
        <v>578</v>
      </c>
      <c r="R42" s="250">
        <v>45</v>
      </c>
      <c r="S42" s="331"/>
      <c r="T42" s="332"/>
      <c r="U42" s="333"/>
      <c r="V42" s="249">
        <f>D42+G42+J42+M42+P42</f>
        <v>5750</v>
      </c>
      <c r="W42" s="108">
        <f>E42+H42+K42+N42+Q42</f>
        <v>2724</v>
      </c>
      <c r="X42" s="249">
        <v>236</v>
      </c>
      <c r="Y42" s="251">
        <v>110</v>
      </c>
      <c r="Z42" s="246">
        <f>F42+I42+L42+O42+R42+U42</f>
        <v>211</v>
      </c>
    </row>
    <row r="43" spans="1:26" ht="46.8" x14ac:dyDescent="0.3">
      <c r="A43" s="259"/>
      <c r="B43" s="146" t="s">
        <v>42</v>
      </c>
      <c r="C43" s="260" t="s">
        <v>34</v>
      </c>
      <c r="D43" s="261">
        <f t="shared" ref="D43:R43" si="15">SUM(D41:D42)</f>
        <v>1454</v>
      </c>
      <c r="E43" s="261">
        <f t="shared" si="15"/>
        <v>705</v>
      </c>
      <c r="F43" s="159">
        <f t="shared" si="15"/>
        <v>53</v>
      </c>
      <c r="G43" s="261">
        <f t="shared" si="15"/>
        <v>1469</v>
      </c>
      <c r="H43" s="261">
        <f t="shared" si="15"/>
        <v>804</v>
      </c>
      <c r="I43" s="159">
        <f t="shared" si="15"/>
        <v>51</v>
      </c>
      <c r="J43" s="261">
        <f t="shared" si="15"/>
        <v>1518</v>
      </c>
      <c r="K43" s="261">
        <f t="shared" si="15"/>
        <v>801</v>
      </c>
      <c r="L43" s="159">
        <f t="shared" si="15"/>
        <v>57</v>
      </c>
      <c r="M43" s="261">
        <f t="shared" si="15"/>
        <v>1482</v>
      </c>
      <c r="N43" s="261">
        <f t="shared" si="15"/>
        <v>764</v>
      </c>
      <c r="O43" s="159">
        <f t="shared" si="15"/>
        <v>54</v>
      </c>
      <c r="P43" s="261">
        <f t="shared" si="15"/>
        <v>1517</v>
      </c>
      <c r="Q43" s="261">
        <f t="shared" si="15"/>
        <v>798</v>
      </c>
      <c r="R43" s="159">
        <f t="shared" si="15"/>
        <v>56</v>
      </c>
      <c r="S43" s="331"/>
      <c r="T43" s="332"/>
      <c r="U43" s="333"/>
      <c r="V43" s="261">
        <f t="shared" ref="V43:Z43" si="16">SUM(V41:V42)</f>
        <v>7440</v>
      </c>
      <c r="W43" s="261">
        <f t="shared" si="16"/>
        <v>3872</v>
      </c>
      <c r="X43" s="159">
        <f t="shared" si="16"/>
        <v>252</v>
      </c>
      <c r="Y43" s="262">
        <f t="shared" si="16"/>
        <v>122</v>
      </c>
      <c r="Z43" s="263">
        <f t="shared" si="16"/>
        <v>271</v>
      </c>
    </row>
    <row r="44" spans="1:26" s="183" customFormat="1" ht="15.6" x14ac:dyDescent="0.25">
      <c r="A44" s="66">
        <v>12</v>
      </c>
      <c r="B44" s="178" t="s">
        <v>55</v>
      </c>
      <c r="C44" s="266" t="s">
        <v>11</v>
      </c>
      <c r="D44" s="63">
        <v>121</v>
      </c>
      <c r="E44" s="67">
        <v>61</v>
      </c>
      <c r="F44" s="67">
        <v>4</v>
      </c>
      <c r="G44" s="63">
        <v>106</v>
      </c>
      <c r="H44" s="67">
        <v>38</v>
      </c>
      <c r="I44" s="67">
        <v>4</v>
      </c>
      <c r="J44" s="63">
        <v>86</v>
      </c>
      <c r="K44" s="67">
        <v>52</v>
      </c>
      <c r="L44" s="67">
        <v>3</v>
      </c>
      <c r="M44" s="63">
        <v>113</v>
      </c>
      <c r="N44" s="67">
        <v>51</v>
      </c>
      <c r="O44" s="67">
        <v>4</v>
      </c>
      <c r="P44" s="63">
        <v>90</v>
      </c>
      <c r="Q44" s="67">
        <v>46</v>
      </c>
      <c r="R44" s="67">
        <v>4</v>
      </c>
      <c r="S44" s="319"/>
      <c r="T44" s="320"/>
      <c r="U44" s="321"/>
      <c r="V44" s="63">
        <f>D44+G44+J44+M44+P44+S44</f>
        <v>516</v>
      </c>
      <c r="W44" s="67">
        <f>E44+H44+K44+N44+Q44+T44</f>
        <v>248</v>
      </c>
      <c r="X44" s="63">
        <f>5+2+1+2+2</f>
        <v>12</v>
      </c>
      <c r="Y44" s="68">
        <f>3+1+1</f>
        <v>5</v>
      </c>
      <c r="Z44" s="179">
        <f>F44+I44+L44+O44+R44+U44</f>
        <v>19</v>
      </c>
    </row>
    <row r="45" spans="1:26" s="183" customFormat="1" ht="30" x14ac:dyDescent="0.25">
      <c r="A45" s="66">
        <v>13</v>
      </c>
      <c r="B45" s="67" t="s">
        <v>55</v>
      </c>
      <c r="C45" s="267" t="s">
        <v>12</v>
      </c>
      <c r="D45" s="60">
        <v>120</v>
      </c>
      <c r="E45" s="67">
        <v>57</v>
      </c>
      <c r="F45" s="67">
        <v>4</v>
      </c>
      <c r="G45" s="63">
        <v>121</v>
      </c>
      <c r="H45" s="67">
        <v>58</v>
      </c>
      <c r="I45" s="67">
        <v>4</v>
      </c>
      <c r="J45" s="63">
        <v>129</v>
      </c>
      <c r="K45" s="67">
        <v>80</v>
      </c>
      <c r="L45" s="67">
        <v>4</v>
      </c>
      <c r="M45" s="63">
        <v>136</v>
      </c>
      <c r="N45" s="67">
        <v>77</v>
      </c>
      <c r="O45" s="67">
        <v>5</v>
      </c>
      <c r="P45" s="63">
        <v>127</v>
      </c>
      <c r="Q45" s="67">
        <v>65</v>
      </c>
      <c r="R45" s="67">
        <v>4</v>
      </c>
      <c r="S45" s="322"/>
      <c r="T45" s="323"/>
      <c r="U45" s="324"/>
      <c r="V45" s="63">
        <f>D45+G45+J45+M45+P45+S45</f>
        <v>633</v>
      </c>
      <c r="W45" s="67">
        <f>E45+H45+K45+N45+Q45+T45</f>
        <v>337</v>
      </c>
      <c r="X45" s="63">
        <f>1+2</f>
        <v>3</v>
      </c>
      <c r="Y45" s="68">
        <f>1+1</f>
        <v>2</v>
      </c>
      <c r="Z45" s="268">
        <f>F45+I45+L45+O45+R45+U45</f>
        <v>21</v>
      </c>
    </row>
    <row r="46" spans="1:26" s="183" customFormat="1" ht="16.2" thickBot="1" x14ac:dyDescent="0.3">
      <c r="A46" s="269">
        <v>14</v>
      </c>
      <c r="B46" s="270" t="s">
        <v>55</v>
      </c>
      <c r="C46" s="271" t="s">
        <v>13</v>
      </c>
      <c r="D46" s="272">
        <v>101</v>
      </c>
      <c r="E46" s="273">
        <v>101</v>
      </c>
      <c r="F46" s="273">
        <v>4</v>
      </c>
      <c r="G46" s="272">
        <v>115</v>
      </c>
      <c r="H46" s="273">
        <v>115</v>
      </c>
      <c r="I46" s="273">
        <v>4</v>
      </c>
      <c r="J46" s="272">
        <v>106</v>
      </c>
      <c r="K46" s="273">
        <v>106</v>
      </c>
      <c r="L46" s="273">
        <v>4</v>
      </c>
      <c r="M46" s="272">
        <v>135</v>
      </c>
      <c r="N46" s="273">
        <v>135</v>
      </c>
      <c r="O46" s="273">
        <v>5</v>
      </c>
      <c r="P46" s="272">
        <v>110</v>
      </c>
      <c r="Q46" s="273">
        <v>110</v>
      </c>
      <c r="R46" s="273">
        <v>4</v>
      </c>
      <c r="S46" s="322"/>
      <c r="T46" s="323"/>
      <c r="U46" s="324"/>
      <c r="V46" s="272">
        <f>D46+G46+J46+M46+P46+S46</f>
        <v>567</v>
      </c>
      <c r="W46" s="273">
        <f>E46+H46+K46+N46+Q46+T46</f>
        <v>567</v>
      </c>
      <c r="X46" s="272">
        <v>8</v>
      </c>
      <c r="Y46" s="274">
        <v>8</v>
      </c>
      <c r="Z46" s="275">
        <f>F46+I46+L46+O46+R46+U46</f>
        <v>21</v>
      </c>
    </row>
    <row r="47" spans="1:26" s="183" customFormat="1" ht="31.8" thickBot="1" x14ac:dyDescent="0.3">
      <c r="A47" s="276"/>
      <c r="B47" s="277" t="s">
        <v>55</v>
      </c>
      <c r="C47" s="278" t="s">
        <v>19</v>
      </c>
      <c r="D47" s="272">
        <f>D44+D45+D46</f>
        <v>342</v>
      </c>
      <c r="E47" s="273">
        <f t="shared" ref="E47:R47" si="17">SUM(E44:E46)</f>
        <v>219</v>
      </c>
      <c r="F47" s="273">
        <f t="shared" si="17"/>
        <v>12</v>
      </c>
      <c r="G47" s="272">
        <f t="shared" si="17"/>
        <v>342</v>
      </c>
      <c r="H47" s="273">
        <f t="shared" si="17"/>
        <v>211</v>
      </c>
      <c r="I47" s="273">
        <f t="shared" si="17"/>
        <v>12</v>
      </c>
      <c r="J47" s="272">
        <f t="shared" si="17"/>
        <v>321</v>
      </c>
      <c r="K47" s="273">
        <f t="shared" si="17"/>
        <v>238</v>
      </c>
      <c r="L47" s="273">
        <f t="shared" si="17"/>
        <v>11</v>
      </c>
      <c r="M47" s="272">
        <f t="shared" si="17"/>
        <v>384</v>
      </c>
      <c r="N47" s="273">
        <f t="shared" si="17"/>
        <v>263</v>
      </c>
      <c r="O47" s="273">
        <f t="shared" si="17"/>
        <v>14</v>
      </c>
      <c r="P47" s="272">
        <f t="shared" si="17"/>
        <v>327</v>
      </c>
      <c r="Q47" s="273">
        <f t="shared" si="17"/>
        <v>221</v>
      </c>
      <c r="R47" s="273">
        <f t="shared" si="17"/>
        <v>12</v>
      </c>
      <c r="S47" s="325"/>
      <c r="T47" s="326"/>
      <c r="U47" s="327"/>
      <c r="V47" s="279">
        <f>D47+G47+J47+M47+P47+S47</f>
        <v>1716</v>
      </c>
      <c r="W47" s="194">
        <f>E47+H47+K47+N47+Q47+T47</f>
        <v>1152</v>
      </c>
      <c r="X47" s="272">
        <f>SUM(X44:X46)</f>
        <v>23</v>
      </c>
      <c r="Y47" s="274">
        <f>SUM(Y44:Y46)</f>
        <v>15</v>
      </c>
      <c r="Z47" s="275">
        <f>F47+I47+L47+O47+R47+U47</f>
        <v>61</v>
      </c>
    </row>
    <row r="48" spans="1:26" s="183" customFormat="1" ht="31.8" thickBot="1" x14ac:dyDescent="0.3">
      <c r="A48" s="276"/>
      <c r="B48" s="280" t="s">
        <v>55</v>
      </c>
      <c r="C48" s="278" t="s">
        <v>21</v>
      </c>
      <c r="D48" s="279">
        <v>1163</v>
      </c>
      <c r="E48" s="281">
        <v>550</v>
      </c>
      <c r="F48" s="281">
        <v>43</v>
      </c>
      <c r="G48" s="279">
        <v>1140</v>
      </c>
      <c r="H48" s="281">
        <v>509</v>
      </c>
      <c r="I48" s="281">
        <v>42</v>
      </c>
      <c r="J48" s="279">
        <v>1105</v>
      </c>
      <c r="K48" s="281">
        <v>546</v>
      </c>
      <c r="L48" s="281">
        <v>40</v>
      </c>
      <c r="M48" s="279">
        <v>1140</v>
      </c>
      <c r="N48" s="281">
        <v>542</v>
      </c>
      <c r="O48" s="281">
        <v>42</v>
      </c>
      <c r="P48" s="279">
        <v>1153</v>
      </c>
      <c r="Q48" s="281">
        <v>548</v>
      </c>
      <c r="R48" s="281">
        <v>42</v>
      </c>
      <c r="S48" s="282">
        <v>79</v>
      </c>
      <c r="T48" s="277">
        <v>48</v>
      </c>
      <c r="U48" s="277">
        <v>3</v>
      </c>
      <c r="V48" s="279">
        <f>D48+G48+J48+M48+P48+S48</f>
        <v>5780</v>
      </c>
      <c r="W48" s="194">
        <f>E48+H48+K48+N48+Q48+T48</f>
        <v>2743</v>
      </c>
      <c r="X48" s="279">
        <v>328</v>
      </c>
      <c r="Y48" s="283">
        <v>150</v>
      </c>
      <c r="Z48" s="275">
        <f>F48+I48+L48+O48+R48+U48</f>
        <v>212</v>
      </c>
    </row>
    <row r="49" spans="1:26" s="183" customFormat="1" ht="46.8" x14ac:dyDescent="0.25">
      <c r="A49" s="284"/>
      <c r="B49" s="280" t="s">
        <v>55</v>
      </c>
      <c r="C49" s="285" t="s">
        <v>34</v>
      </c>
      <c r="D49" s="286">
        <f t="shared" ref="D49:U49" si="18">SUM(D47:D48)</f>
        <v>1505</v>
      </c>
      <c r="E49" s="286">
        <f t="shared" si="18"/>
        <v>769</v>
      </c>
      <c r="F49" s="177">
        <f t="shared" si="18"/>
        <v>55</v>
      </c>
      <c r="G49" s="286">
        <f t="shared" si="18"/>
        <v>1482</v>
      </c>
      <c r="H49" s="286">
        <f t="shared" si="18"/>
        <v>720</v>
      </c>
      <c r="I49" s="177">
        <f t="shared" si="18"/>
        <v>54</v>
      </c>
      <c r="J49" s="286">
        <f t="shared" si="18"/>
        <v>1426</v>
      </c>
      <c r="K49" s="286">
        <f t="shared" si="18"/>
        <v>784</v>
      </c>
      <c r="L49" s="177">
        <f t="shared" si="18"/>
        <v>51</v>
      </c>
      <c r="M49" s="286">
        <f t="shared" si="18"/>
        <v>1524</v>
      </c>
      <c r="N49" s="286">
        <f t="shared" si="18"/>
        <v>805</v>
      </c>
      <c r="O49" s="177">
        <f t="shared" si="18"/>
        <v>56</v>
      </c>
      <c r="P49" s="286">
        <f t="shared" si="18"/>
        <v>1480</v>
      </c>
      <c r="Q49" s="286">
        <f t="shared" si="18"/>
        <v>769</v>
      </c>
      <c r="R49" s="177">
        <f t="shared" si="18"/>
        <v>54</v>
      </c>
      <c r="S49" s="287">
        <f t="shared" si="18"/>
        <v>79</v>
      </c>
      <c r="T49" s="287">
        <f t="shared" si="18"/>
        <v>48</v>
      </c>
      <c r="U49" s="287">
        <f t="shared" si="18"/>
        <v>3</v>
      </c>
      <c r="V49" s="286">
        <f t="shared" ref="V49:Z49" si="19">SUM(V47:V48)</f>
        <v>7496</v>
      </c>
      <c r="W49" s="286">
        <f t="shared" si="19"/>
        <v>3895</v>
      </c>
      <c r="X49" s="177">
        <f t="shared" si="19"/>
        <v>351</v>
      </c>
      <c r="Y49" s="288">
        <f t="shared" si="19"/>
        <v>165</v>
      </c>
      <c r="Z49" s="289">
        <f t="shared" si="19"/>
        <v>273</v>
      </c>
    </row>
    <row r="50" spans="1:26" s="183" customFormat="1" ht="15.6" x14ac:dyDescent="0.25">
      <c r="A50" s="67">
        <v>12</v>
      </c>
      <c r="B50" s="67" t="s">
        <v>56</v>
      </c>
      <c r="C50" s="266" t="s">
        <v>11</v>
      </c>
      <c r="D50" s="63">
        <v>88</v>
      </c>
      <c r="E50" s="67">
        <v>42</v>
      </c>
      <c r="F50" s="67">
        <v>3</v>
      </c>
      <c r="G50" s="63">
        <v>121</v>
      </c>
      <c r="H50" s="67">
        <v>59</v>
      </c>
      <c r="I50" s="67">
        <v>4</v>
      </c>
      <c r="J50" s="63">
        <v>107</v>
      </c>
      <c r="K50" s="67">
        <v>37</v>
      </c>
      <c r="L50" s="67">
        <v>4</v>
      </c>
      <c r="M50" s="63">
        <v>82</v>
      </c>
      <c r="N50" s="67">
        <v>51</v>
      </c>
      <c r="O50" s="67">
        <v>3</v>
      </c>
      <c r="P50" s="63">
        <v>111</v>
      </c>
      <c r="Q50" s="67">
        <v>51</v>
      </c>
      <c r="R50" s="67">
        <v>4</v>
      </c>
      <c r="S50" s="318"/>
      <c r="T50" s="318"/>
      <c r="U50" s="318"/>
      <c r="V50" s="63">
        <f>D50+G50+J50+M50+P50+S50</f>
        <v>509</v>
      </c>
      <c r="W50" s="67">
        <f>E50+H50+K50+N50+Q50+T50</f>
        <v>240</v>
      </c>
      <c r="X50" s="63">
        <v>13</v>
      </c>
      <c r="Y50" s="67">
        <v>5</v>
      </c>
      <c r="Z50" s="67">
        <f>F50+I50+L50+O50+R50+U50</f>
        <v>18</v>
      </c>
    </row>
    <row r="51" spans="1:26" s="183" customFormat="1" ht="30" x14ac:dyDescent="0.25">
      <c r="A51" s="67">
        <v>13</v>
      </c>
      <c r="B51" s="67" t="s">
        <v>56</v>
      </c>
      <c r="C51" s="267" t="s">
        <v>12</v>
      </c>
      <c r="D51" s="60">
        <v>125</v>
      </c>
      <c r="E51" s="67">
        <v>70</v>
      </c>
      <c r="F51" s="67">
        <v>4</v>
      </c>
      <c r="G51" s="63">
        <v>124</v>
      </c>
      <c r="H51" s="67">
        <v>58</v>
      </c>
      <c r="I51" s="67">
        <v>4</v>
      </c>
      <c r="J51" s="63">
        <v>123</v>
      </c>
      <c r="K51" s="67">
        <v>61</v>
      </c>
      <c r="L51" s="67">
        <v>4</v>
      </c>
      <c r="M51" s="63">
        <v>126</v>
      </c>
      <c r="N51" s="67">
        <v>79</v>
      </c>
      <c r="O51" s="67">
        <v>4</v>
      </c>
      <c r="P51" s="63">
        <v>131</v>
      </c>
      <c r="Q51" s="67">
        <v>74</v>
      </c>
      <c r="R51" s="67">
        <v>5</v>
      </c>
      <c r="S51" s="318"/>
      <c r="T51" s="318"/>
      <c r="U51" s="318"/>
      <c r="V51" s="63">
        <f>D51+G51+J51+M51+P51+S51</f>
        <v>629</v>
      </c>
      <c r="W51" s="67">
        <f>E51+H51+K51+N51+Q51+T51</f>
        <v>342</v>
      </c>
      <c r="X51" s="63">
        <v>5</v>
      </c>
      <c r="Y51" s="67">
        <v>3</v>
      </c>
      <c r="Z51" s="67">
        <f>F51+I51+L51+O51+R51+U51</f>
        <v>21</v>
      </c>
    </row>
    <row r="52" spans="1:26" s="183" customFormat="1" ht="15.6" x14ac:dyDescent="0.25">
      <c r="A52" s="67">
        <v>14</v>
      </c>
      <c r="B52" s="67" t="s">
        <v>56</v>
      </c>
      <c r="C52" s="266" t="s">
        <v>13</v>
      </c>
      <c r="D52" s="63">
        <v>120</v>
      </c>
      <c r="E52" s="67">
        <v>120</v>
      </c>
      <c r="F52" s="67">
        <v>4</v>
      </c>
      <c r="G52" s="63">
        <v>106</v>
      </c>
      <c r="H52" s="67">
        <v>106</v>
      </c>
      <c r="I52" s="67">
        <v>4</v>
      </c>
      <c r="J52" s="63">
        <v>112</v>
      </c>
      <c r="K52" s="67">
        <v>112</v>
      </c>
      <c r="L52" s="67">
        <v>4</v>
      </c>
      <c r="M52" s="63">
        <v>104</v>
      </c>
      <c r="N52" s="67">
        <v>104</v>
      </c>
      <c r="O52" s="67">
        <v>4</v>
      </c>
      <c r="P52" s="63">
        <v>132</v>
      </c>
      <c r="Q52" s="67">
        <v>132</v>
      </c>
      <c r="R52" s="67">
        <v>5</v>
      </c>
      <c r="S52" s="318"/>
      <c r="T52" s="318"/>
      <c r="U52" s="318"/>
      <c r="V52" s="63">
        <f>D52+G52+J52+M52+P52+S52</f>
        <v>574</v>
      </c>
      <c r="W52" s="67">
        <f>E52+H52+K52+N52+Q52+T52</f>
        <v>574</v>
      </c>
      <c r="X52" s="63">
        <v>15</v>
      </c>
      <c r="Y52" s="67">
        <v>15</v>
      </c>
      <c r="Z52" s="67">
        <f>F52+I52+L52+O52+R52+U52</f>
        <v>21</v>
      </c>
    </row>
    <row r="53" spans="1:26" s="183" customFormat="1" ht="31.2" x14ac:dyDescent="0.25">
      <c r="A53" s="290"/>
      <c r="B53" s="67" t="s">
        <v>56</v>
      </c>
      <c r="C53" s="291" t="s">
        <v>19</v>
      </c>
      <c r="D53" s="63">
        <f>D50+D51+D52</f>
        <v>333</v>
      </c>
      <c r="E53" s="67">
        <f t="shared" ref="E53:R53" si="20">SUM(E50:E52)</f>
        <v>232</v>
      </c>
      <c r="F53" s="67">
        <f t="shared" si="20"/>
        <v>11</v>
      </c>
      <c r="G53" s="63">
        <f t="shared" si="20"/>
        <v>351</v>
      </c>
      <c r="H53" s="67">
        <f t="shared" si="20"/>
        <v>223</v>
      </c>
      <c r="I53" s="67">
        <f t="shared" si="20"/>
        <v>12</v>
      </c>
      <c r="J53" s="63">
        <f t="shared" si="20"/>
        <v>342</v>
      </c>
      <c r="K53" s="67">
        <f t="shared" si="20"/>
        <v>210</v>
      </c>
      <c r="L53" s="67">
        <f t="shared" si="20"/>
        <v>12</v>
      </c>
      <c r="M53" s="63">
        <f t="shared" si="20"/>
        <v>312</v>
      </c>
      <c r="N53" s="67">
        <f t="shared" si="20"/>
        <v>234</v>
      </c>
      <c r="O53" s="67">
        <f t="shared" si="20"/>
        <v>11</v>
      </c>
      <c r="P53" s="63">
        <f t="shared" si="20"/>
        <v>374</v>
      </c>
      <c r="Q53" s="67">
        <f t="shared" si="20"/>
        <v>257</v>
      </c>
      <c r="R53" s="67">
        <f t="shared" si="20"/>
        <v>14</v>
      </c>
      <c r="S53" s="318"/>
      <c r="T53" s="318"/>
      <c r="U53" s="318"/>
      <c r="V53" s="171">
        <f>D53+G53+J53+M53+P53+S53</f>
        <v>1712</v>
      </c>
      <c r="W53" s="182">
        <f>E53+H53+K53+N53+Q53+T53</f>
        <v>1156</v>
      </c>
      <c r="X53" s="63">
        <f>SUM(X50:X52)</f>
        <v>33</v>
      </c>
      <c r="Y53" s="67">
        <f>SUM(Y50:Y52)</f>
        <v>23</v>
      </c>
      <c r="Z53" s="67">
        <f>F53+I53+L53+O53+R53+U53</f>
        <v>60</v>
      </c>
    </row>
    <row r="54" spans="1:26" s="183" customFormat="1" ht="31.2" x14ac:dyDescent="0.25">
      <c r="A54" s="290"/>
      <c r="B54" s="67" t="s">
        <v>56</v>
      </c>
      <c r="C54" s="291" t="s">
        <v>21</v>
      </c>
      <c r="D54" s="171">
        <v>1104</v>
      </c>
      <c r="E54" s="182">
        <v>516</v>
      </c>
      <c r="F54" s="182">
        <v>41</v>
      </c>
      <c r="G54" s="171">
        <v>1155</v>
      </c>
      <c r="H54" s="182">
        <v>553</v>
      </c>
      <c r="I54" s="182">
        <v>43</v>
      </c>
      <c r="J54" s="171">
        <v>1077</v>
      </c>
      <c r="K54" s="182">
        <v>487</v>
      </c>
      <c r="L54" s="182">
        <v>40</v>
      </c>
      <c r="M54" s="171">
        <v>1087</v>
      </c>
      <c r="N54" s="182">
        <v>538</v>
      </c>
      <c r="O54" s="182">
        <v>40</v>
      </c>
      <c r="P54" s="171">
        <v>1116</v>
      </c>
      <c r="Q54" s="182">
        <v>539</v>
      </c>
      <c r="R54" s="182">
        <v>41</v>
      </c>
      <c r="S54" s="63">
        <v>87</v>
      </c>
      <c r="T54" s="67">
        <v>47</v>
      </c>
      <c r="U54" s="67">
        <v>3</v>
      </c>
      <c r="V54" s="171" t="e">
        <f>D54+G54+J54+M54+P54+S54+#REF!</f>
        <v>#REF!</v>
      </c>
      <c r="W54" s="182" t="e">
        <f>E54+H54+K54+N54+Q54+T54+#REF!</f>
        <v>#REF!</v>
      </c>
      <c r="X54" s="171">
        <v>324</v>
      </c>
      <c r="Y54" s="182">
        <v>159</v>
      </c>
      <c r="Z54" s="182" t="e">
        <f>F54+I54+L54+O54+R54+U54+#REF!</f>
        <v>#REF!</v>
      </c>
    </row>
    <row r="55" spans="1:26" s="183" customFormat="1" ht="46.8" x14ac:dyDescent="0.25">
      <c r="A55" s="290"/>
      <c r="B55" s="67" t="s">
        <v>56</v>
      </c>
      <c r="C55" s="291" t="s">
        <v>34</v>
      </c>
      <c r="D55" s="171">
        <f t="shared" ref="D55:U55" si="21">SUM(D53:D54)</f>
        <v>1437</v>
      </c>
      <c r="E55" s="171">
        <f t="shared" si="21"/>
        <v>748</v>
      </c>
      <c r="F55" s="63">
        <f t="shared" si="21"/>
        <v>52</v>
      </c>
      <c r="G55" s="171">
        <f t="shared" si="21"/>
        <v>1506</v>
      </c>
      <c r="H55" s="171">
        <f t="shared" si="21"/>
        <v>776</v>
      </c>
      <c r="I55" s="63">
        <f t="shared" si="21"/>
        <v>55</v>
      </c>
      <c r="J55" s="171">
        <f t="shared" si="21"/>
        <v>1419</v>
      </c>
      <c r="K55" s="171">
        <f t="shared" si="21"/>
        <v>697</v>
      </c>
      <c r="L55" s="63">
        <f t="shared" si="21"/>
        <v>52</v>
      </c>
      <c r="M55" s="171">
        <f t="shared" si="21"/>
        <v>1399</v>
      </c>
      <c r="N55" s="171">
        <f t="shared" si="21"/>
        <v>772</v>
      </c>
      <c r="O55" s="63">
        <f t="shared" si="21"/>
        <v>51</v>
      </c>
      <c r="P55" s="171">
        <f t="shared" si="21"/>
        <v>1490</v>
      </c>
      <c r="Q55" s="171">
        <f t="shared" si="21"/>
        <v>796</v>
      </c>
      <c r="R55" s="63">
        <f t="shared" si="21"/>
        <v>55</v>
      </c>
      <c r="S55" s="63">
        <f t="shared" si="21"/>
        <v>87</v>
      </c>
      <c r="T55" s="63">
        <f t="shared" si="21"/>
        <v>47</v>
      </c>
      <c r="U55" s="63">
        <f t="shared" si="21"/>
        <v>3</v>
      </c>
      <c r="V55" s="171" t="e">
        <f t="shared" ref="V55:Z55" si="22">SUM(V53:V54)</f>
        <v>#REF!</v>
      </c>
      <c r="W55" s="171" t="e">
        <f t="shared" si="22"/>
        <v>#REF!</v>
      </c>
      <c r="X55" s="63">
        <f t="shared" si="22"/>
        <v>357</v>
      </c>
      <c r="Y55" s="63">
        <f t="shared" si="22"/>
        <v>182</v>
      </c>
      <c r="Z55" s="63" t="e">
        <f t="shared" si="22"/>
        <v>#REF!</v>
      </c>
    </row>
    <row r="56" spans="1:26" s="183" customFormat="1" ht="15.6" x14ac:dyDescent="0.25">
      <c r="A56" s="67">
        <v>12</v>
      </c>
      <c r="B56" s="67" t="s">
        <v>57</v>
      </c>
      <c r="C56" s="266" t="s">
        <v>11</v>
      </c>
      <c r="D56" s="63">
        <v>92</v>
      </c>
      <c r="E56" s="67">
        <v>40</v>
      </c>
      <c r="F56" s="67">
        <v>3</v>
      </c>
      <c r="G56" s="63">
        <v>91</v>
      </c>
      <c r="H56" s="67">
        <v>44</v>
      </c>
      <c r="I56" s="67">
        <v>3</v>
      </c>
      <c r="J56" s="63">
        <v>114</v>
      </c>
      <c r="K56" s="67">
        <v>57</v>
      </c>
      <c r="L56" s="67">
        <v>4</v>
      </c>
      <c r="M56" s="63">
        <v>105</v>
      </c>
      <c r="N56" s="67">
        <v>37</v>
      </c>
      <c r="O56" s="67">
        <v>4</v>
      </c>
      <c r="P56" s="63">
        <v>80</v>
      </c>
      <c r="Q56" s="67">
        <v>51</v>
      </c>
      <c r="R56" s="67">
        <v>3</v>
      </c>
      <c r="S56" s="226">
        <v>0</v>
      </c>
      <c r="T56" s="226">
        <v>0</v>
      </c>
      <c r="U56" s="226">
        <v>0</v>
      </c>
      <c r="V56" s="63">
        <f>D56+G56+J56+M56+P56+S56</f>
        <v>482</v>
      </c>
      <c r="W56" s="67">
        <f>E56+H56+K56+N56+Q56+T56</f>
        <v>229</v>
      </c>
      <c r="X56" s="63">
        <f>2+3+4+1+1</f>
        <v>11</v>
      </c>
      <c r="Y56" s="67">
        <f>1+2+1</f>
        <v>4</v>
      </c>
      <c r="Z56" s="67">
        <f>F56+I56+L56+O56+R56+U56</f>
        <v>17</v>
      </c>
    </row>
    <row r="57" spans="1:26" s="183" customFormat="1" ht="30" x14ac:dyDescent="0.25">
      <c r="A57" s="67">
        <v>13</v>
      </c>
      <c r="B57" s="67" t="s">
        <v>57</v>
      </c>
      <c r="C57" s="267" t="s">
        <v>12</v>
      </c>
      <c r="D57" s="60">
        <v>124</v>
      </c>
      <c r="E57" s="67">
        <v>59</v>
      </c>
      <c r="F57" s="67">
        <v>4</v>
      </c>
      <c r="G57" s="63">
        <v>124</v>
      </c>
      <c r="H57" s="67">
        <v>69</v>
      </c>
      <c r="I57" s="67">
        <v>4</v>
      </c>
      <c r="J57" s="63">
        <v>122</v>
      </c>
      <c r="K57" s="67">
        <v>57</v>
      </c>
      <c r="L57" s="67">
        <v>4</v>
      </c>
      <c r="M57" s="63">
        <v>121</v>
      </c>
      <c r="N57" s="67">
        <v>61</v>
      </c>
      <c r="O57" s="67">
        <v>4</v>
      </c>
      <c r="P57" s="63">
        <v>126</v>
      </c>
      <c r="Q57" s="67">
        <v>78</v>
      </c>
      <c r="R57" s="67">
        <v>4</v>
      </c>
      <c r="S57" s="226">
        <v>0</v>
      </c>
      <c r="T57" s="226">
        <v>0</v>
      </c>
      <c r="U57" s="226">
        <v>0</v>
      </c>
      <c r="V57" s="63">
        <f>D57+G57+J57+M57+P57+S57</f>
        <v>617</v>
      </c>
      <c r="W57" s="67">
        <f>E57+H57+K57+N57+Q57+T57</f>
        <v>324</v>
      </c>
      <c r="X57" s="63">
        <f>1+1+1+2</f>
        <v>5</v>
      </c>
      <c r="Y57" s="67">
        <f>1+1+1</f>
        <v>3</v>
      </c>
      <c r="Z57" s="67">
        <f>F57+I57+L57+O57+R57+U57</f>
        <v>20</v>
      </c>
    </row>
    <row r="58" spans="1:26" s="183" customFormat="1" ht="15.6" x14ac:dyDescent="0.25">
      <c r="A58" s="67">
        <v>14</v>
      </c>
      <c r="B58" s="67" t="s">
        <v>57</v>
      </c>
      <c r="C58" s="266" t="s">
        <v>13</v>
      </c>
      <c r="D58" s="63">
        <v>115</v>
      </c>
      <c r="E58" s="67">
        <v>115</v>
      </c>
      <c r="F58" s="67">
        <v>4</v>
      </c>
      <c r="G58" s="63">
        <v>116</v>
      </c>
      <c r="H58" s="67">
        <v>116</v>
      </c>
      <c r="I58" s="67">
        <v>4</v>
      </c>
      <c r="J58" s="63">
        <v>103</v>
      </c>
      <c r="K58" s="67">
        <v>103</v>
      </c>
      <c r="L58" s="67">
        <v>4</v>
      </c>
      <c r="M58" s="63">
        <v>117</v>
      </c>
      <c r="N58" s="67">
        <v>117</v>
      </c>
      <c r="O58" s="67">
        <v>4</v>
      </c>
      <c r="P58" s="63">
        <v>101</v>
      </c>
      <c r="Q58" s="67">
        <v>101</v>
      </c>
      <c r="R58" s="67">
        <v>4</v>
      </c>
      <c r="S58" s="226">
        <v>0</v>
      </c>
      <c r="T58" s="226">
        <v>0</v>
      </c>
      <c r="U58" s="226">
        <v>0</v>
      </c>
      <c r="V58" s="63">
        <f>D58+G58+J58+M58+P58+S58</f>
        <v>552</v>
      </c>
      <c r="W58" s="67">
        <f>E58+H58+K58+N58+Q58+T58</f>
        <v>552</v>
      </c>
      <c r="X58" s="63">
        <f>3+4+1+7</f>
        <v>15</v>
      </c>
      <c r="Y58" s="67">
        <v>15</v>
      </c>
      <c r="Z58" s="67">
        <f>F58+I58+L58+O58+R58+U58</f>
        <v>20</v>
      </c>
    </row>
    <row r="59" spans="1:26" s="183" customFormat="1" ht="31.2" x14ac:dyDescent="0.25">
      <c r="A59" s="290"/>
      <c r="B59" s="67" t="s">
        <v>57</v>
      </c>
      <c r="C59" s="291" t="s">
        <v>19</v>
      </c>
      <c r="D59" s="63">
        <f>D56+D57+D58</f>
        <v>331</v>
      </c>
      <c r="E59" s="67">
        <f t="shared" ref="E59:R59" si="23">SUM(E56:E58)</f>
        <v>214</v>
      </c>
      <c r="F59" s="67">
        <f t="shared" si="23"/>
        <v>11</v>
      </c>
      <c r="G59" s="63">
        <f t="shared" si="23"/>
        <v>331</v>
      </c>
      <c r="H59" s="67">
        <f t="shared" si="23"/>
        <v>229</v>
      </c>
      <c r="I59" s="67">
        <f t="shared" si="23"/>
        <v>11</v>
      </c>
      <c r="J59" s="63">
        <f t="shared" si="23"/>
        <v>339</v>
      </c>
      <c r="K59" s="67">
        <f t="shared" si="23"/>
        <v>217</v>
      </c>
      <c r="L59" s="67">
        <f t="shared" si="23"/>
        <v>12</v>
      </c>
      <c r="M59" s="63">
        <f t="shared" si="23"/>
        <v>343</v>
      </c>
      <c r="N59" s="67">
        <f t="shared" si="23"/>
        <v>215</v>
      </c>
      <c r="O59" s="67">
        <f t="shared" si="23"/>
        <v>12</v>
      </c>
      <c r="P59" s="63">
        <f t="shared" si="23"/>
        <v>307</v>
      </c>
      <c r="Q59" s="67">
        <f t="shared" si="23"/>
        <v>230</v>
      </c>
      <c r="R59" s="67">
        <f t="shared" si="23"/>
        <v>11</v>
      </c>
      <c r="S59" s="226">
        <v>0</v>
      </c>
      <c r="T59" s="226">
        <v>0</v>
      </c>
      <c r="U59" s="226">
        <v>0</v>
      </c>
      <c r="V59" s="171">
        <f>D59+G59+J59+M59+P59+S59</f>
        <v>1651</v>
      </c>
      <c r="W59" s="182">
        <f>E59+H59+K59+N59+Q59+T59</f>
        <v>1105</v>
      </c>
      <c r="X59" s="63">
        <f>SUM(X56:X58)</f>
        <v>31</v>
      </c>
      <c r="Y59" s="67">
        <f>SUM(Y56:Y58)</f>
        <v>22</v>
      </c>
      <c r="Z59" s="67">
        <f>F59+I59+L59+O59+R59+U59</f>
        <v>57</v>
      </c>
    </row>
    <row r="60" spans="1:26" s="183" customFormat="1" ht="31.2" x14ac:dyDescent="0.25">
      <c r="A60" s="290"/>
      <c r="B60" s="67" t="s">
        <v>57</v>
      </c>
      <c r="C60" s="291" t="s">
        <v>21</v>
      </c>
      <c r="D60" s="171">
        <v>1138</v>
      </c>
      <c r="E60" s="182">
        <v>521</v>
      </c>
      <c r="F60" s="182">
        <v>41</v>
      </c>
      <c r="G60" s="171">
        <v>1106</v>
      </c>
      <c r="H60" s="182">
        <v>512</v>
      </c>
      <c r="I60" s="182">
        <v>41</v>
      </c>
      <c r="J60" s="171">
        <v>1118</v>
      </c>
      <c r="K60" s="182">
        <v>544</v>
      </c>
      <c r="L60" s="182">
        <v>42</v>
      </c>
      <c r="M60" s="171">
        <v>1045</v>
      </c>
      <c r="N60" s="182">
        <v>468</v>
      </c>
      <c r="O60" s="182">
        <v>40</v>
      </c>
      <c r="P60" s="171">
        <v>1060</v>
      </c>
      <c r="Q60" s="182">
        <v>528</v>
      </c>
      <c r="R60" s="182">
        <v>40</v>
      </c>
      <c r="S60" s="63">
        <v>83</v>
      </c>
      <c r="T60" s="67">
        <v>44</v>
      </c>
      <c r="U60" s="67">
        <v>3</v>
      </c>
      <c r="V60" s="171">
        <v>5550</v>
      </c>
      <c r="W60" s="182">
        <v>2617</v>
      </c>
      <c r="X60" s="171">
        <v>316</v>
      </c>
      <c r="Y60" s="182">
        <v>156</v>
      </c>
      <c r="Z60" s="182">
        <v>207</v>
      </c>
    </row>
    <row r="61" spans="1:26" s="183" customFormat="1" ht="46.8" x14ac:dyDescent="0.25">
      <c r="A61" s="290"/>
      <c r="B61" s="67" t="s">
        <v>57</v>
      </c>
      <c r="C61" s="291" t="s">
        <v>34</v>
      </c>
      <c r="D61" s="171">
        <f t="shared" ref="D61:U61" si="24">SUM(D59:D60)</f>
        <v>1469</v>
      </c>
      <c r="E61" s="171">
        <f t="shared" si="24"/>
        <v>735</v>
      </c>
      <c r="F61" s="63">
        <f t="shared" si="24"/>
        <v>52</v>
      </c>
      <c r="G61" s="171">
        <f t="shared" si="24"/>
        <v>1437</v>
      </c>
      <c r="H61" s="171">
        <f t="shared" si="24"/>
        <v>741</v>
      </c>
      <c r="I61" s="63">
        <f t="shared" si="24"/>
        <v>52</v>
      </c>
      <c r="J61" s="171">
        <f t="shared" si="24"/>
        <v>1457</v>
      </c>
      <c r="K61" s="171">
        <f t="shared" si="24"/>
        <v>761</v>
      </c>
      <c r="L61" s="63">
        <f t="shared" si="24"/>
        <v>54</v>
      </c>
      <c r="M61" s="171">
        <f t="shared" si="24"/>
        <v>1388</v>
      </c>
      <c r="N61" s="171">
        <f t="shared" si="24"/>
        <v>683</v>
      </c>
      <c r="O61" s="63">
        <f t="shared" si="24"/>
        <v>52</v>
      </c>
      <c r="P61" s="171">
        <f t="shared" si="24"/>
        <v>1367</v>
      </c>
      <c r="Q61" s="171">
        <f t="shared" si="24"/>
        <v>758</v>
      </c>
      <c r="R61" s="63">
        <f t="shared" si="24"/>
        <v>51</v>
      </c>
      <c r="S61" s="63">
        <f t="shared" si="24"/>
        <v>83</v>
      </c>
      <c r="T61" s="63">
        <f t="shared" si="24"/>
        <v>44</v>
      </c>
      <c r="U61" s="63">
        <f t="shared" si="24"/>
        <v>3</v>
      </c>
      <c r="V61" s="171">
        <f t="shared" ref="V61:Z61" si="25">SUM(V59:V60)</f>
        <v>7201</v>
      </c>
      <c r="W61" s="171">
        <f t="shared" si="25"/>
        <v>3722</v>
      </c>
      <c r="X61" s="63">
        <f t="shared" si="25"/>
        <v>347</v>
      </c>
      <c r="Y61" s="63">
        <f t="shared" si="25"/>
        <v>178</v>
      </c>
      <c r="Z61" s="63">
        <f t="shared" si="25"/>
        <v>264</v>
      </c>
    </row>
    <row r="62" spans="1:26" ht="15.6" x14ac:dyDescent="0.25">
      <c r="A62" s="67">
        <v>12</v>
      </c>
      <c r="B62" s="67" t="s">
        <v>58</v>
      </c>
      <c r="C62" s="266" t="s">
        <v>11</v>
      </c>
      <c r="D62" s="63">
        <v>93</v>
      </c>
      <c r="E62" s="67">
        <v>49</v>
      </c>
      <c r="F62" s="67">
        <v>3</v>
      </c>
      <c r="G62" s="63">
        <v>93</v>
      </c>
      <c r="H62" s="67">
        <v>39</v>
      </c>
      <c r="I62" s="67">
        <v>3</v>
      </c>
      <c r="J62" s="63">
        <v>86</v>
      </c>
      <c r="K62" s="67">
        <v>43</v>
      </c>
      <c r="L62" s="67">
        <v>3</v>
      </c>
      <c r="M62" s="63">
        <v>108</v>
      </c>
      <c r="N62" s="67">
        <v>56</v>
      </c>
      <c r="O62" s="67">
        <v>4</v>
      </c>
      <c r="P62" s="63">
        <v>107</v>
      </c>
      <c r="Q62" s="67">
        <v>39</v>
      </c>
      <c r="R62" s="67">
        <v>4</v>
      </c>
      <c r="S62" s="226">
        <v>0</v>
      </c>
      <c r="T62" s="226">
        <v>0</v>
      </c>
      <c r="U62" s="226">
        <v>0</v>
      </c>
      <c r="V62" s="63">
        <f>D62+G62+J62+M62+P62+S62</f>
        <v>487</v>
      </c>
      <c r="W62" s="67">
        <f>E62+H62+K62+N62+Q62+T62</f>
        <v>226</v>
      </c>
      <c r="X62" s="63">
        <v>10</v>
      </c>
      <c r="Y62" s="67">
        <v>3</v>
      </c>
      <c r="Z62" s="67">
        <f>F62+I62+L62+O62+R62+U62</f>
        <v>17</v>
      </c>
    </row>
    <row r="63" spans="1:26" ht="30" x14ac:dyDescent="0.25">
      <c r="A63" s="67">
        <v>13</v>
      </c>
      <c r="B63" s="67" t="s">
        <v>58</v>
      </c>
      <c r="C63" s="267" t="s">
        <v>12</v>
      </c>
      <c r="D63" s="60">
        <v>124</v>
      </c>
      <c r="E63" s="67">
        <v>68</v>
      </c>
      <c r="F63" s="67">
        <v>4</v>
      </c>
      <c r="G63" s="63">
        <v>124</v>
      </c>
      <c r="H63" s="67">
        <v>59</v>
      </c>
      <c r="I63" s="67">
        <v>4</v>
      </c>
      <c r="J63" s="63">
        <v>123</v>
      </c>
      <c r="K63" s="67">
        <v>68</v>
      </c>
      <c r="L63" s="67">
        <v>4</v>
      </c>
      <c r="M63" s="63">
        <v>125</v>
      </c>
      <c r="N63" s="67">
        <v>59</v>
      </c>
      <c r="O63" s="67">
        <v>4</v>
      </c>
      <c r="P63" s="63">
        <v>113</v>
      </c>
      <c r="Q63" s="67">
        <v>58</v>
      </c>
      <c r="R63" s="67">
        <v>4</v>
      </c>
      <c r="S63" s="226">
        <v>0</v>
      </c>
      <c r="T63" s="226">
        <v>0</v>
      </c>
      <c r="U63" s="226">
        <v>0</v>
      </c>
      <c r="V63" s="63">
        <f>D63+G63+J63+M63+P63+S63</f>
        <v>609</v>
      </c>
      <c r="W63" s="67">
        <f>E63+H63+K63+N63+Q63+T63</f>
        <v>312</v>
      </c>
      <c r="X63" s="63">
        <v>7</v>
      </c>
      <c r="Y63" s="67">
        <v>4</v>
      </c>
      <c r="Z63" s="67">
        <f>F63+I63+L63+O63+R63+U63</f>
        <v>20</v>
      </c>
    </row>
    <row r="64" spans="1:26" ht="15.6" x14ac:dyDescent="0.25">
      <c r="A64" s="67">
        <v>14</v>
      </c>
      <c r="B64" s="67" t="s">
        <v>58</v>
      </c>
      <c r="C64" s="266" t="s">
        <v>13</v>
      </c>
      <c r="D64" s="63">
        <v>96</v>
      </c>
      <c r="E64" s="67">
        <v>96</v>
      </c>
      <c r="F64" s="67">
        <v>4</v>
      </c>
      <c r="G64" s="63">
        <v>117</v>
      </c>
      <c r="H64" s="67">
        <v>117</v>
      </c>
      <c r="I64" s="67">
        <v>4</v>
      </c>
      <c r="J64" s="63">
        <v>120</v>
      </c>
      <c r="K64" s="67">
        <v>120</v>
      </c>
      <c r="L64" s="67">
        <v>4</v>
      </c>
      <c r="M64" s="63">
        <v>105</v>
      </c>
      <c r="N64" s="67">
        <v>105</v>
      </c>
      <c r="O64" s="67">
        <v>4</v>
      </c>
      <c r="P64" s="63">
        <v>116</v>
      </c>
      <c r="Q64" s="67">
        <v>116</v>
      </c>
      <c r="R64" s="67">
        <v>4</v>
      </c>
      <c r="S64" s="226">
        <v>0</v>
      </c>
      <c r="T64" s="226">
        <v>0</v>
      </c>
      <c r="U64" s="226">
        <v>0</v>
      </c>
      <c r="V64" s="63">
        <f>D64+G64+J64+M64+P64+S64</f>
        <v>554</v>
      </c>
      <c r="W64" s="67">
        <f>E64+H64+K64+N64+Q64+T64</f>
        <v>554</v>
      </c>
      <c r="X64" s="63">
        <v>18</v>
      </c>
      <c r="Y64" s="67">
        <v>18</v>
      </c>
      <c r="Z64" s="67">
        <f>F64+I64+L64+O64+R64+U64</f>
        <v>20</v>
      </c>
    </row>
    <row r="65" spans="1:26" ht="31.2" x14ac:dyDescent="0.25">
      <c r="A65" s="290"/>
      <c r="B65" s="67" t="s">
        <v>58</v>
      </c>
      <c r="C65" s="291" t="s">
        <v>19</v>
      </c>
      <c r="D65" s="63">
        <f>D62+D63+D64</f>
        <v>313</v>
      </c>
      <c r="E65" s="67">
        <f t="shared" ref="E65:R65" si="26">SUM(E62:E64)</f>
        <v>213</v>
      </c>
      <c r="F65" s="67">
        <f t="shared" si="26"/>
        <v>11</v>
      </c>
      <c r="G65" s="63">
        <f t="shared" si="26"/>
        <v>334</v>
      </c>
      <c r="H65" s="67">
        <f t="shared" si="26"/>
        <v>215</v>
      </c>
      <c r="I65" s="67">
        <f t="shared" si="26"/>
        <v>11</v>
      </c>
      <c r="J65" s="63">
        <f t="shared" si="26"/>
        <v>329</v>
      </c>
      <c r="K65" s="67">
        <f t="shared" si="26"/>
        <v>231</v>
      </c>
      <c r="L65" s="67">
        <f t="shared" si="26"/>
        <v>11</v>
      </c>
      <c r="M65" s="63">
        <f t="shared" si="26"/>
        <v>338</v>
      </c>
      <c r="N65" s="67">
        <f t="shared" si="26"/>
        <v>220</v>
      </c>
      <c r="O65" s="67">
        <f t="shared" si="26"/>
        <v>12</v>
      </c>
      <c r="P65" s="63">
        <f t="shared" si="26"/>
        <v>336</v>
      </c>
      <c r="Q65" s="67">
        <f t="shared" si="26"/>
        <v>213</v>
      </c>
      <c r="R65" s="67">
        <f t="shared" si="26"/>
        <v>12</v>
      </c>
      <c r="S65" s="226">
        <v>0</v>
      </c>
      <c r="T65" s="226">
        <v>0</v>
      </c>
      <c r="U65" s="226">
        <v>0</v>
      </c>
      <c r="V65" s="171">
        <f>D65+G65+J65+M65+P65+S65</f>
        <v>1650</v>
      </c>
      <c r="W65" s="182">
        <f>E65+H65+K65+N65+Q65+T65</f>
        <v>1092</v>
      </c>
      <c r="X65" s="171">
        <f>SUM(X62:X64)</f>
        <v>35</v>
      </c>
      <c r="Y65" s="182">
        <f>SUM(Y62:Y64)</f>
        <v>25</v>
      </c>
      <c r="Z65" s="67">
        <f>F65+I65+L65+O65+R65+U65</f>
        <v>57</v>
      </c>
    </row>
    <row r="66" spans="1:26" ht="31.2" x14ac:dyDescent="0.25">
      <c r="A66" s="290"/>
      <c r="B66" s="67" t="s">
        <v>58</v>
      </c>
      <c r="C66" s="291" t="s">
        <v>21</v>
      </c>
      <c r="D66" s="171">
        <v>1083</v>
      </c>
      <c r="E66" s="182">
        <v>477</v>
      </c>
      <c r="F66" s="182">
        <v>39</v>
      </c>
      <c r="G66" s="292">
        <v>1151</v>
      </c>
      <c r="H66" s="182">
        <v>529</v>
      </c>
      <c r="I66" s="182">
        <v>41</v>
      </c>
      <c r="J66" s="171">
        <v>1052</v>
      </c>
      <c r="K66" s="293">
        <v>492</v>
      </c>
      <c r="L66" s="182">
        <v>41</v>
      </c>
      <c r="M66" s="171">
        <v>1101</v>
      </c>
      <c r="N66" s="182">
        <v>535</v>
      </c>
      <c r="O66" s="293">
        <v>42</v>
      </c>
      <c r="P66" s="171">
        <v>1032</v>
      </c>
      <c r="Q66" s="182">
        <v>468</v>
      </c>
      <c r="R66" s="182">
        <v>39</v>
      </c>
      <c r="S66" s="173">
        <v>72</v>
      </c>
      <c r="T66" s="182">
        <v>34</v>
      </c>
      <c r="U66" s="67">
        <v>3</v>
      </c>
      <c r="V66" s="171">
        <v>5491</v>
      </c>
      <c r="W66" s="182">
        <v>2535</v>
      </c>
      <c r="X66" s="171">
        <v>323</v>
      </c>
      <c r="Y66" s="182">
        <v>156</v>
      </c>
      <c r="Z66" s="182">
        <v>205</v>
      </c>
    </row>
    <row r="67" spans="1:26" ht="46.8" x14ac:dyDescent="0.25">
      <c r="A67" s="290"/>
      <c r="B67" s="67" t="s">
        <v>58</v>
      </c>
      <c r="C67" s="291" t="s">
        <v>34</v>
      </c>
      <c r="D67" s="171">
        <f t="shared" ref="D67:U67" si="27">SUM(D65:D66)</f>
        <v>1396</v>
      </c>
      <c r="E67" s="171">
        <f t="shared" si="27"/>
        <v>690</v>
      </c>
      <c r="F67" s="63">
        <f t="shared" si="27"/>
        <v>50</v>
      </c>
      <c r="G67" s="171">
        <f t="shared" si="27"/>
        <v>1485</v>
      </c>
      <c r="H67" s="171">
        <f t="shared" si="27"/>
        <v>744</v>
      </c>
      <c r="I67" s="63">
        <f t="shared" si="27"/>
        <v>52</v>
      </c>
      <c r="J67" s="171">
        <f t="shared" si="27"/>
        <v>1381</v>
      </c>
      <c r="K67" s="171">
        <f t="shared" si="27"/>
        <v>723</v>
      </c>
      <c r="L67" s="63">
        <f t="shared" si="27"/>
        <v>52</v>
      </c>
      <c r="M67" s="171">
        <f t="shared" si="27"/>
        <v>1439</v>
      </c>
      <c r="N67" s="171">
        <f t="shared" si="27"/>
        <v>755</v>
      </c>
      <c r="O67" s="63">
        <f t="shared" si="27"/>
        <v>54</v>
      </c>
      <c r="P67" s="171">
        <f t="shared" si="27"/>
        <v>1368</v>
      </c>
      <c r="Q67" s="171">
        <f t="shared" si="27"/>
        <v>681</v>
      </c>
      <c r="R67" s="63">
        <f t="shared" si="27"/>
        <v>51</v>
      </c>
      <c r="S67" s="63">
        <f t="shared" si="27"/>
        <v>72</v>
      </c>
      <c r="T67" s="63">
        <f t="shared" si="27"/>
        <v>34</v>
      </c>
      <c r="U67" s="63">
        <f t="shared" si="27"/>
        <v>3</v>
      </c>
      <c r="V67" s="171">
        <f t="shared" ref="V67:Z67" si="28">SUM(V65:V66)</f>
        <v>7141</v>
      </c>
      <c r="W67" s="171">
        <f t="shared" si="28"/>
        <v>3627</v>
      </c>
      <c r="X67" s="63">
        <f t="shared" si="28"/>
        <v>358</v>
      </c>
      <c r="Y67" s="63">
        <f t="shared" si="28"/>
        <v>181</v>
      </c>
      <c r="Z67" s="63">
        <f t="shared" si="28"/>
        <v>262</v>
      </c>
    </row>
    <row r="68" spans="1:26" ht="15.6" x14ac:dyDescent="0.25">
      <c r="A68" s="67">
        <v>12</v>
      </c>
      <c r="B68" s="67" t="s">
        <v>59</v>
      </c>
      <c r="C68" s="266" t="s">
        <v>11</v>
      </c>
      <c r="D68" s="63">
        <v>90</v>
      </c>
      <c r="E68" s="67">
        <v>43</v>
      </c>
      <c r="F68" s="67">
        <v>3</v>
      </c>
      <c r="G68" s="63">
        <v>93</v>
      </c>
      <c r="H68" s="67">
        <v>48</v>
      </c>
      <c r="I68" s="67">
        <v>3</v>
      </c>
      <c r="J68" s="63">
        <v>91</v>
      </c>
      <c r="K68" s="67">
        <v>38</v>
      </c>
      <c r="L68" s="67">
        <v>3</v>
      </c>
      <c r="M68" s="63">
        <v>85</v>
      </c>
      <c r="N68" s="67">
        <v>43</v>
      </c>
      <c r="O68" s="67">
        <v>3</v>
      </c>
      <c r="P68" s="63">
        <v>109</v>
      </c>
      <c r="Q68" s="67">
        <v>57</v>
      </c>
      <c r="R68" s="67">
        <v>4</v>
      </c>
      <c r="S68" s="226">
        <v>0</v>
      </c>
      <c r="T68" s="226">
        <v>0</v>
      </c>
      <c r="U68" s="226">
        <v>0</v>
      </c>
      <c r="V68" s="63">
        <f>D68+G68+J68+M68+P68+S68</f>
        <v>468</v>
      </c>
      <c r="W68" s="67">
        <f>E68+H68+K68+N68+Q68+T68</f>
        <v>229</v>
      </c>
      <c r="X68" s="63">
        <v>12</v>
      </c>
      <c r="Y68" s="67">
        <v>4</v>
      </c>
      <c r="Z68" s="67">
        <f>F68+I68+L68+O68+R68+U68</f>
        <v>16</v>
      </c>
    </row>
    <row r="69" spans="1:26" ht="30" x14ac:dyDescent="0.25">
      <c r="A69" s="67">
        <v>13</v>
      </c>
      <c r="B69" s="67" t="s">
        <v>59</v>
      </c>
      <c r="C69" s="267" t="s">
        <v>12</v>
      </c>
      <c r="D69" s="60">
        <v>124</v>
      </c>
      <c r="E69" s="67">
        <v>68</v>
      </c>
      <c r="F69" s="67">
        <v>4</v>
      </c>
      <c r="G69" s="63">
        <v>124</v>
      </c>
      <c r="H69" s="67">
        <v>68</v>
      </c>
      <c r="I69" s="67">
        <v>4</v>
      </c>
      <c r="J69" s="63">
        <v>127</v>
      </c>
      <c r="K69" s="67">
        <v>61</v>
      </c>
      <c r="L69" s="67">
        <v>4</v>
      </c>
      <c r="M69" s="63">
        <v>122</v>
      </c>
      <c r="N69" s="67">
        <v>66</v>
      </c>
      <c r="O69" s="67">
        <v>4</v>
      </c>
      <c r="P69" s="63">
        <v>121</v>
      </c>
      <c r="Q69" s="67">
        <v>59</v>
      </c>
      <c r="R69" s="67">
        <v>4</v>
      </c>
      <c r="S69" s="226">
        <v>0</v>
      </c>
      <c r="T69" s="226">
        <v>0</v>
      </c>
      <c r="U69" s="226">
        <v>0</v>
      </c>
      <c r="V69" s="63">
        <f>D69+G69+J69+M69+P69+S69</f>
        <v>618</v>
      </c>
      <c r="W69" s="67">
        <f>E69+H69+K69+N69+Q69+T69</f>
        <v>322</v>
      </c>
      <c r="X69" s="63">
        <v>4</v>
      </c>
      <c r="Y69" s="67">
        <v>3</v>
      </c>
      <c r="Z69" s="67">
        <f>F69+I69+L69+O69+R69+U69</f>
        <v>20</v>
      </c>
    </row>
    <row r="70" spans="1:26" ht="15.6" x14ac:dyDescent="0.25">
      <c r="A70" s="67">
        <v>14</v>
      </c>
      <c r="B70" s="67" t="s">
        <v>59</v>
      </c>
      <c r="C70" s="266" t="s">
        <v>13</v>
      </c>
      <c r="D70" s="63">
        <v>113</v>
      </c>
      <c r="E70" s="67">
        <v>113</v>
      </c>
      <c r="F70" s="67">
        <v>4</v>
      </c>
      <c r="G70" s="63">
        <v>100</v>
      </c>
      <c r="H70" s="67">
        <v>100</v>
      </c>
      <c r="I70" s="67">
        <v>4</v>
      </c>
      <c r="J70" s="63">
        <v>117</v>
      </c>
      <c r="K70" s="67">
        <v>117</v>
      </c>
      <c r="L70" s="67">
        <v>4</v>
      </c>
      <c r="M70" s="63">
        <v>117</v>
      </c>
      <c r="N70" s="67">
        <v>117</v>
      </c>
      <c r="O70" s="67">
        <v>4</v>
      </c>
      <c r="P70" s="63">
        <v>105</v>
      </c>
      <c r="Q70" s="67">
        <v>105</v>
      </c>
      <c r="R70" s="67">
        <v>4</v>
      </c>
      <c r="S70" s="226">
        <v>0</v>
      </c>
      <c r="T70" s="226">
        <v>0</v>
      </c>
      <c r="U70" s="226">
        <v>0</v>
      </c>
      <c r="V70" s="63">
        <f>D70+G70+J70+M70+P70+S70</f>
        <v>552</v>
      </c>
      <c r="W70" s="67">
        <f>E70+H70+K70+N70+Q70+T70</f>
        <v>552</v>
      </c>
      <c r="X70" s="63">
        <v>16</v>
      </c>
      <c r="Y70" s="67">
        <v>16</v>
      </c>
      <c r="Z70" s="67">
        <f>F70+I70+L70+O70+R70+U70</f>
        <v>20</v>
      </c>
    </row>
    <row r="71" spans="1:26" ht="31.2" x14ac:dyDescent="0.25">
      <c r="A71" s="290"/>
      <c r="B71" s="67" t="s">
        <v>59</v>
      </c>
      <c r="C71" s="291" t="s">
        <v>19</v>
      </c>
      <c r="D71" s="63">
        <f>SUM(D68:D70)</f>
        <v>327</v>
      </c>
      <c r="E71" s="67">
        <f t="shared" ref="E71:U71" si="29">SUM(E68:E70)</f>
        <v>224</v>
      </c>
      <c r="F71" s="67">
        <f t="shared" si="29"/>
        <v>11</v>
      </c>
      <c r="G71" s="63">
        <f t="shared" si="29"/>
        <v>317</v>
      </c>
      <c r="H71" s="67">
        <f t="shared" si="29"/>
        <v>216</v>
      </c>
      <c r="I71" s="67">
        <f t="shared" si="29"/>
        <v>11</v>
      </c>
      <c r="J71" s="63">
        <f t="shared" si="29"/>
        <v>335</v>
      </c>
      <c r="K71" s="67">
        <f t="shared" si="29"/>
        <v>216</v>
      </c>
      <c r="L71" s="67">
        <f t="shared" si="29"/>
        <v>11</v>
      </c>
      <c r="M71" s="63">
        <f t="shared" si="29"/>
        <v>324</v>
      </c>
      <c r="N71" s="67">
        <f t="shared" si="29"/>
        <v>226</v>
      </c>
      <c r="O71" s="67">
        <f t="shared" si="29"/>
        <v>11</v>
      </c>
      <c r="P71" s="63">
        <f t="shared" si="29"/>
        <v>335</v>
      </c>
      <c r="Q71" s="67">
        <f t="shared" si="29"/>
        <v>221</v>
      </c>
      <c r="R71" s="67">
        <f t="shared" si="29"/>
        <v>12</v>
      </c>
      <c r="S71" s="226">
        <f t="shared" si="29"/>
        <v>0</v>
      </c>
      <c r="T71" s="226">
        <f t="shared" si="29"/>
        <v>0</v>
      </c>
      <c r="U71" s="226">
        <f t="shared" si="29"/>
        <v>0</v>
      </c>
      <c r="V71" s="171">
        <f>D71+G71+J71+M71+P71+S71</f>
        <v>1638</v>
      </c>
      <c r="W71" s="182">
        <f>E71+H71+K71+N71+Q71+T71</f>
        <v>1103</v>
      </c>
      <c r="X71" s="171">
        <f>SUM(X68:X70)</f>
        <v>32</v>
      </c>
      <c r="Y71" s="182">
        <f>SUM(Y68:Y70)</f>
        <v>23</v>
      </c>
      <c r="Z71" s="67">
        <f>F71+I71+L71+O71+R71+U71</f>
        <v>56</v>
      </c>
    </row>
    <row r="72" spans="1:26" ht="31.2" x14ac:dyDescent="0.25">
      <c r="A72" s="290"/>
      <c r="B72" s="67" t="s">
        <v>59</v>
      </c>
      <c r="C72" s="291" t="s">
        <v>21</v>
      </c>
      <c r="D72" s="171">
        <v>1141</v>
      </c>
      <c r="E72" s="182">
        <v>566</v>
      </c>
      <c r="F72" s="182">
        <v>43</v>
      </c>
      <c r="G72" s="171">
        <v>1077</v>
      </c>
      <c r="H72" s="182">
        <v>476</v>
      </c>
      <c r="I72" s="182">
        <v>39</v>
      </c>
      <c r="J72" s="171">
        <v>1112</v>
      </c>
      <c r="K72" s="182">
        <v>502</v>
      </c>
      <c r="L72" s="182">
        <v>41</v>
      </c>
      <c r="M72" s="171">
        <v>1045</v>
      </c>
      <c r="N72" s="182">
        <v>486</v>
      </c>
      <c r="O72" s="182">
        <v>41</v>
      </c>
      <c r="P72" s="171">
        <v>1101</v>
      </c>
      <c r="Q72" s="182">
        <v>536</v>
      </c>
      <c r="R72" s="182">
        <v>42</v>
      </c>
      <c r="S72" s="171">
        <v>61</v>
      </c>
      <c r="T72" s="182">
        <v>24</v>
      </c>
      <c r="U72" s="182">
        <v>3</v>
      </c>
      <c r="V72" s="171">
        <f>D72+G72+J72+M72+P72+S72</f>
        <v>5537</v>
      </c>
      <c r="W72" s="182">
        <f>E72+H72+K72+N72+Q72+T72</f>
        <v>2590</v>
      </c>
      <c r="X72" s="171">
        <v>314</v>
      </c>
      <c r="Y72" s="182">
        <v>164</v>
      </c>
      <c r="Z72" s="182">
        <v>209</v>
      </c>
    </row>
    <row r="73" spans="1:26" ht="46.8" x14ac:dyDescent="0.25">
      <c r="A73" s="290"/>
      <c r="B73" s="67" t="s">
        <v>59</v>
      </c>
      <c r="C73" s="291" t="s">
        <v>34</v>
      </c>
      <c r="D73" s="171">
        <f t="shared" ref="D73:U73" si="30">SUM(D71:D72)</f>
        <v>1468</v>
      </c>
      <c r="E73" s="171">
        <f t="shared" si="30"/>
        <v>790</v>
      </c>
      <c r="F73" s="63">
        <f t="shared" si="30"/>
        <v>54</v>
      </c>
      <c r="G73" s="171">
        <f t="shared" si="30"/>
        <v>1394</v>
      </c>
      <c r="H73" s="171">
        <f t="shared" si="30"/>
        <v>692</v>
      </c>
      <c r="I73" s="63">
        <f t="shared" si="30"/>
        <v>50</v>
      </c>
      <c r="J73" s="171">
        <f t="shared" si="30"/>
        <v>1447</v>
      </c>
      <c r="K73" s="171">
        <f t="shared" si="30"/>
        <v>718</v>
      </c>
      <c r="L73" s="63">
        <f t="shared" si="30"/>
        <v>52</v>
      </c>
      <c r="M73" s="171">
        <f t="shared" si="30"/>
        <v>1369</v>
      </c>
      <c r="N73" s="171">
        <f t="shared" si="30"/>
        <v>712</v>
      </c>
      <c r="O73" s="63">
        <f t="shared" si="30"/>
        <v>52</v>
      </c>
      <c r="P73" s="171">
        <f t="shared" si="30"/>
        <v>1436</v>
      </c>
      <c r="Q73" s="171">
        <f t="shared" si="30"/>
        <v>757</v>
      </c>
      <c r="R73" s="63">
        <f t="shared" si="30"/>
        <v>54</v>
      </c>
      <c r="S73" s="63">
        <f t="shared" si="30"/>
        <v>61</v>
      </c>
      <c r="T73" s="63">
        <f t="shared" si="30"/>
        <v>24</v>
      </c>
      <c r="U73" s="63">
        <f t="shared" si="30"/>
        <v>3</v>
      </c>
      <c r="V73" s="171">
        <f t="shared" ref="V73:Z73" si="31">SUM(V71:V72)</f>
        <v>7175</v>
      </c>
      <c r="W73" s="171">
        <f t="shared" si="31"/>
        <v>3693</v>
      </c>
      <c r="X73" s="63">
        <f t="shared" si="31"/>
        <v>346</v>
      </c>
      <c r="Y73" s="63">
        <f t="shared" si="31"/>
        <v>187</v>
      </c>
      <c r="Z73" s="63">
        <f t="shared" si="31"/>
        <v>265</v>
      </c>
    </row>
    <row r="74" spans="1:26" ht="30" x14ac:dyDescent="0.25">
      <c r="A74" s="67">
        <v>12</v>
      </c>
      <c r="B74" s="67" t="s">
        <v>63</v>
      </c>
      <c r="C74" s="185" t="s">
        <v>68</v>
      </c>
      <c r="D74" s="63">
        <v>95</v>
      </c>
      <c r="E74" s="67">
        <v>50</v>
      </c>
      <c r="F74" s="67">
        <v>3</v>
      </c>
      <c r="G74" s="63">
        <v>90</v>
      </c>
      <c r="H74" s="67">
        <v>43</v>
      </c>
      <c r="I74" s="67">
        <v>3</v>
      </c>
      <c r="J74" s="63">
        <v>93</v>
      </c>
      <c r="K74" s="67">
        <v>48</v>
      </c>
      <c r="L74" s="67">
        <v>3</v>
      </c>
      <c r="M74" s="63">
        <v>90</v>
      </c>
      <c r="N74" s="67">
        <v>38</v>
      </c>
      <c r="O74" s="67">
        <v>3</v>
      </c>
      <c r="P74" s="63">
        <v>84</v>
      </c>
      <c r="Q74" s="67">
        <v>43</v>
      </c>
      <c r="R74" s="67">
        <v>3</v>
      </c>
      <c r="S74" s="226">
        <v>0</v>
      </c>
      <c r="T74" s="226">
        <v>0</v>
      </c>
      <c r="U74" s="226">
        <v>0</v>
      </c>
      <c r="V74" s="63">
        <f>D74+G74+J74+M74+P74+S74</f>
        <v>452</v>
      </c>
      <c r="W74" s="67">
        <f>E74+H74+K74+N74+Q74+T74</f>
        <v>222</v>
      </c>
      <c r="X74" s="63">
        <v>9</v>
      </c>
      <c r="Y74" s="67">
        <v>4</v>
      </c>
      <c r="Z74" s="67">
        <f>F74+I74+L74+O74+R74+U74</f>
        <v>15</v>
      </c>
    </row>
    <row r="75" spans="1:26" ht="45" x14ac:dyDescent="0.25">
      <c r="A75" s="67">
        <v>13</v>
      </c>
      <c r="B75" s="67" t="s">
        <v>63</v>
      </c>
      <c r="C75" s="185" t="s">
        <v>69</v>
      </c>
      <c r="D75" s="60">
        <v>124</v>
      </c>
      <c r="E75" s="67">
        <v>64</v>
      </c>
      <c r="F75" s="67">
        <v>4</v>
      </c>
      <c r="G75" s="63">
        <v>124</v>
      </c>
      <c r="H75" s="67">
        <v>68</v>
      </c>
      <c r="I75" s="67">
        <v>4</v>
      </c>
      <c r="J75" s="63">
        <v>124</v>
      </c>
      <c r="K75" s="67">
        <v>67</v>
      </c>
      <c r="L75" s="67">
        <v>4</v>
      </c>
      <c r="M75" s="63">
        <v>125</v>
      </c>
      <c r="N75" s="67">
        <v>60</v>
      </c>
      <c r="O75" s="67">
        <v>4</v>
      </c>
      <c r="P75" s="63">
        <v>121</v>
      </c>
      <c r="Q75" s="67">
        <v>66</v>
      </c>
      <c r="R75" s="67">
        <v>4</v>
      </c>
      <c r="S75" s="226">
        <v>0</v>
      </c>
      <c r="T75" s="226">
        <v>0</v>
      </c>
      <c r="U75" s="226">
        <v>0</v>
      </c>
      <c r="V75" s="63">
        <f>D75+G75+J75+M75+P75+S75</f>
        <v>618</v>
      </c>
      <c r="W75" s="67">
        <f>E75+H75+K75+N75+Q75+T75</f>
        <v>325</v>
      </c>
      <c r="X75" s="72">
        <v>2</v>
      </c>
      <c r="Y75" s="69">
        <v>1</v>
      </c>
      <c r="Z75" s="67">
        <f>F75+I75+L75+O75+R75+U75</f>
        <v>20</v>
      </c>
    </row>
    <row r="76" spans="1:26" ht="45" x14ac:dyDescent="0.25">
      <c r="A76" s="67">
        <v>14</v>
      </c>
      <c r="B76" s="67" t="s">
        <v>63</v>
      </c>
      <c r="C76" s="185" t="s">
        <v>70</v>
      </c>
      <c r="D76" s="63">
        <v>74</v>
      </c>
      <c r="E76" s="67">
        <v>74</v>
      </c>
      <c r="F76" s="67">
        <v>3</v>
      </c>
      <c r="G76" s="63">
        <v>114</v>
      </c>
      <c r="H76" s="67">
        <v>114</v>
      </c>
      <c r="I76" s="67">
        <v>4</v>
      </c>
      <c r="J76" s="63">
        <v>99</v>
      </c>
      <c r="K76" s="67">
        <v>99</v>
      </c>
      <c r="L76" s="67">
        <v>4</v>
      </c>
      <c r="M76" s="63">
        <v>113</v>
      </c>
      <c r="N76" s="67">
        <v>113</v>
      </c>
      <c r="O76" s="67">
        <v>4</v>
      </c>
      <c r="P76" s="63">
        <v>117</v>
      </c>
      <c r="Q76" s="67">
        <v>117</v>
      </c>
      <c r="R76" s="67">
        <v>4</v>
      </c>
      <c r="S76" s="226">
        <v>0</v>
      </c>
      <c r="T76" s="226">
        <v>0</v>
      </c>
      <c r="U76" s="226">
        <v>0</v>
      </c>
      <c r="V76" s="63">
        <f>D76+G76+J76+M76+P76+S76</f>
        <v>517</v>
      </c>
      <c r="W76" s="67">
        <f>E76+H76+K76+N76+Q76+T76</f>
        <v>517</v>
      </c>
      <c r="X76" s="63">
        <v>19</v>
      </c>
      <c r="Y76" s="67">
        <v>19</v>
      </c>
      <c r="Z76" s="67">
        <f>F76+I76+L76+O76+R76+U76</f>
        <v>19</v>
      </c>
    </row>
    <row r="77" spans="1:26" ht="31.2" x14ac:dyDescent="0.25">
      <c r="A77" s="290"/>
      <c r="B77" s="67" t="s">
        <v>63</v>
      </c>
      <c r="C77" s="291" t="s">
        <v>19</v>
      </c>
      <c r="D77" s="72">
        <f>SUM(D74:D76)</f>
        <v>293</v>
      </c>
      <c r="E77" s="72">
        <f t="shared" ref="E77:U77" si="32">SUM(E74:E76)</f>
        <v>188</v>
      </c>
      <c r="F77" s="72">
        <f t="shared" si="32"/>
        <v>10</v>
      </c>
      <c r="G77" s="72">
        <f t="shared" si="32"/>
        <v>328</v>
      </c>
      <c r="H77" s="72">
        <f t="shared" si="32"/>
        <v>225</v>
      </c>
      <c r="I77" s="72">
        <f t="shared" si="32"/>
        <v>11</v>
      </c>
      <c r="J77" s="72">
        <f t="shared" si="32"/>
        <v>316</v>
      </c>
      <c r="K77" s="72">
        <f t="shared" si="32"/>
        <v>214</v>
      </c>
      <c r="L77" s="72">
        <f t="shared" si="32"/>
        <v>11</v>
      </c>
      <c r="M77" s="72">
        <f t="shared" si="32"/>
        <v>328</v>
      </c>
      <c r="N77" s="72">
        <f t="shared" si="32"/>
        <v>211</v>
      </c>
      <c r="O77" s="72">
        <f t="shared" si="32"/>
        <v>11</v>
      </c>
      <c r="P77" s="72">
        <f t="shared" si="32"/>
        <v>322</v>
      </c>
      <c r="Q77" s="72">
        <f t="shared" si="32"/>
        <v>226</v>
      </c>
      <c r="R77" s="72">
        <f t="shared" si="32"/>
        <v>11</v>
      </c>
      <c r="S77" s="297">
        <f t="shared" si="32"/>
        <v>0</v>
      </c>
      <c r="T77" s="297">
        <f t="shared" si="32"/>
        <v>0</v>
      </c>
      <c r="U77" s="297">
        <f t="shared" si="32"/>
        <v>0</v>
      </c>
      <c r="V77" s="171">
        <f>D77+G77+J77+M77+P77+S77</f>
        <v>1587</v>
      </c>
      <c r="W77" s="171">
        <f>E77+H77+K77+N77+Q77+T77</f>
        <v>1064</v>
      </c>
      <c r="X77" s="171">
        <f>SUM(X74:X76)</f>
        <v>30</v>
      </c>
      <c r="Y77" s="171">
        <f>SUM(Y74:Y76)</f>
        <v>24</v>
      </c>
      <c r="Z77" s="72">
        <f>F77+I77+L77+O77+R77+U77</f>
        <v>54</v>
      </c>
    </row>
    <row r="78" spans="1:26" ht="31.2" x14ac:dyDescent="0.25">
      <c r="A78" s="290"/>
      <c r="B78" s="67" t="s">
        <v>63</v>
      </c>
      <c r="C78" s="291" t="s">
        <v>21</v>
      </c>
      <c r="D78" s="171">
        <v>1216</v>
      </c>
      <c r="E78" s="171">
        <v>575</v>
      </c>
      <c r="F78" s="171">
        <v>44</v>
      </c>
      <c r="G78" s="171">
        <v>1163</v>
      </c>
      <c r="H78" s="171">
        <v>577</v>
      </c>
      <c r="I78" s="171">
        <v>43</v>
      </c>
      <c r="J78" s="171">
        <v>1075</v>
      </c>
      <c r="K78" s="171">
        <v>477</v>
      </c>
      <c r="L78" s="171">
        <v>39</v>
      </c>
      <c r="M78" s="171">
        <v>1088</v>
      </c>
      <c r="N78" s="171">
        <v>496</v>
      </c>
      <c r="O78" s="171">
        <v>41</v>
      </c>
      <c r="P78" s="171">
        <v>1031</v>
      </c>
      <c r="Q78" s="171">
        <v>475</v>
      </c>
      <c r="R78" s="294">
        <v>41</v>
      </c>
      <c r="S78" s="72">
        <v>85</v>
      </c>
      <c r="T78" s="72">
        <v>48</v>
      </c>
      <c r="U78" s="171">
        <v>3</v>
      </c>
      <c r="V78" s="295">
        <v>5658</v>
      </c>
      <c r="W78" s="171">
        <v>2648</v>
      </c>
      <c r="X78" s="171">
        <v>358</v>
      </c>
      <c r="Y78" s="171">
        <v>195</v>
      </c>
      <c r="Z78" s="171">
        <v>211</v>
      </c>
    </row>
    <row r="79" spans="1:26" ht="46.8" x14ac:dyDescent="0.25">
      <c r="A79" s="290"/>
      <c r="B79" s="67" t="s">
        <v>63</v>
      </c>
      <c r="C79" s="291" t="s">
        <v>34</v>
      </c>
      <c r="D79" s="171">
        <f t="shared" ref="D79:U79" si="33">SUM(D77:D78)</f>
        <v>1509</v>
      </c>
      <c r="E79" s="171">
        <f t="shared" si="33"/>
        <v>763</v>
      </c>
      <c r="F79" s="63">
        <f t="shared" si="33"/>
        <v>54</v>
      </c>
      <c r="G79" s="171">
        <f>SUM(G77:G78)</f>
        <v>1491</v>
      </c>
      <c r="H79" s="171">
        <f t="shared" si="33"/>
        <v>802</v>
      </c>
      <c r="I79" s="63">
        <f t="shared" si="33"/>
        <v>54</v>
      </c>
      <c r="J79" s="171">
        <f>SUM(J77:J78)</f>
        <v>1391</v>
      </c>
      <c r="K79" s="171">
        <f>SUM(K77:K78)</f>
        <v>691</v>
      </c>
      <c r="L79" s="63">
        <f t="shared" si="33"/>
        <v>50</v>
      </c>
      <c r="M79" s="171">
        <f t="shared" ref="M79:S79" si="34">SUM(M77:M78)</f>
        <v>1416</v>
      </c>
      <c r="N79" s="171">
        <f t="shared" si="34"/>
        <v>707</v>
      </c>
      <c r="O79" s="63">
        <f t="shared" si="34"/>
        <v>52</v>
      </c>
      <c r="P79" s="171">
        <f t="shared" si="34"/>
        <v>1353</v>
      </c>
      <c r="Q79" s="171">
        <f t="shared" si="34"/>
        <v>701</v>
      </c>
      <c r="R79" s="63">
        <f t="shared" si="34"/>
        <v>52</v>
      </c>
      <c r="S79" s="63">
        <f t="shared" si="34"/>
        <v>85</v>
      </c>
      <c r="T79" s="63">
        <f t="shared" si="33"/>
        <v>48</v>
      </c>
      <c r="U79" s="63">
        <f t="shared" si="33"/>
        <v>3</v>
      </c>
      <c r="V79" s="171">
        <f t="shared" ref="V79:Z79" si="35">SUM(V77:V78)</f>
        <v>7245</v>
      </c>
      <c r="W79" s="171">
        <f t="shared" si="35"/>
        <v>3712</v>
      </c>
      <c r="X79" s="63">
        <f t="shared" si="35"/>
        <v>388</v>
      </c>
      <c r="Y79" s="63">
        <f t="shared" si="35"/>
        <v>219</v>
      </c>
      <c r="Z79" s="63">
        <f t="shared" si="35"/>
        <v>265</v>
      </c>
    </row>
  </sheetData>
  <mergeCells count="35">
    <mergeCell ref="V3:Y3"/>
    <mergeCell ref="G4:G5"/>
    <mergeCell ref="H4:H5"/>
    <mergeCell ref="S38:U43"/>
    <mergeCell ref="Z3:Z5"/>
    <mergeCell ref="M3:O3"/>
    <mergeCell ref="P3:R3"/>
    <mergeCell ref="R4:R5"/>
    <mergeCell ref="S4:S5"/>
    <mergeCell ref="M4:M5"/>
    <mergeCell ref="N4:N5"/>
    <mergeCell ref="O4:O5"/>
    <mergeCell ref="P4:P5"/>
    <mergeCell ref="Q4:Q5"/>
    <mergeCell ref="S3:U3"/>
    <mergeCell ref="T4:T5"/>
    <mergeCell ref="V4:W4"/>
    <mergeCell ref="X4:Y4"/>
    <mergeCell ref="S50:U53"/>
    <mergeCell ref="S44:U47"/>
    <mergeCell ref="S31:U36"/>
    <mergeCell ref="U4:U5"/>
    <mergeCell ref="A3:A5"/>
    <mergeCell ref="B3:B5"/>
    <mergeCell ref="C3:C5"/>
    <mergeCell ref="D3:F3"/>
    <mergeCell ref="J3:L3"/>
    <mergeCell ref="I4:I5"/>
    <mergeCell ref="J4:J5"/>
    <mergeCell ref="K4:K5"/>
    <mergeCell ref="L4:L5"/>
    <mergeCell ref="G3:I3"/>
    <mergeCell ref="D4:D5"/>
    <mergeCell ref="E4:E5"/>
    <mergeCell ref="F4:F5"/>
  </mergeCells>
  <phoneticPr fontId="4" type="noConversion"/>
  <pageMargins left="0.59055118110236227" right="0.19685039370078741" top="1.1023622047244095" bottom="0.78740157480314965" header="0.78740157480314965" footer="0.19685039370078741"/>
  <pageSetup paperSize="9" scale="82" fitToHeight="0" orientation="landscape" horizontalDpi="1200" verticalDpi="1200" r:id="rId1"/>
  <headerFooter alignWithMargins="0">
    <oddHeader>&amp;R&amp;12Amt&amp;"Arial,Fett" für Schule und Weiterbildung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89"/>
  <sheetViews>
    <sheetView tabSelected="1" zoomScaleNormal="100" workbookViewId="0">
      <selection activeCell="B8" sqref="B8"/>
    </sheetView>
  </sheetViews>
  <sheetFormatPr baseColWidth="10" defaultColWidth="7.88671875" defaultRowHeight="20.100000000000001" customHeight="1" x14ac:dyDescent="0.25"/>
  <cols>
    <col min="1" max="1" width="5" style="137" customWidth="1"/>
    <col min="2" max="2" width="12.109375" style="71" bestFit="1" customWidth="1"/>
    <col min="3" max="3" width="28.109375" style="71" customWidth="1"/>
    <col min="4" max="4" width="7.33203125" style="137" customWidth="1"/>
    <col min="5" max="6" width="6.6640625" style="137" customWidth="1"/>
    <col min="7" max="7" width="7.33203125" style="137" customWidth="1"/>
    <col min="8" max="8" width="6.6640625" style="137" customWidth="1"/>
    <col min="9" max="9" width="7.109375" style="137" customWidth="1"/>
    <col min="10" max="10" width="6.6640625" style="137" customWidth="1"/>
    <col min="11" max="11" width="7.33203125" style="137" customWidth="1"/>
    <col min="12" max="12" width="6.6640625" style="137" customWidth="1"/>
    <col min="13" max="13" width="7.109375" style="137" customWidth="1"/>
    <col min="14" max="14" width="5.5546875" style="137" customWidth="1"/>
    <col min="15" max="15" width="7.33203125" style="137" customWidth="1"/>
    <col min="16" max="16" width="6.6640625" style="137" customWidth="1"/>
    <col min="17" max="17" width="7.33203125" style="137" customWidth="1"/>
    <col min="18" max="18" width="6.6640625" style="137" customWidth="1"/>
    <col min="19" max="19" width="8.109375" style="137" customWidth="1"/>
    <col min="20" max="20" width="6.88671875" style="137" customWidth="1"/>
    <col min="21" max="21" width="10" style="137" bestFit="1" customWidth="1"/>
    <col min="22" max="22" width="6.6640625" style="137" customWidth="1"/>
    <col min="23" max="16384" width="7.88671875" style="71"/>
  </cols>
  <sheetData>
    <row r="1" spans="1:22" ht="15.6" x14ac:dyDescent="0.3">
      <c r="A1" s="70" t="s">
        <v>64</v>
      </c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</row>
    <row r="2" spans="1:22" ht="15" x14ac:dyDescent="0.25">
      <c r="A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</row>
    <row r="3" spans="1:22" s="73" customFormat="1" ht="30" customHeight="1" x14ac:dyDescent="0.25">
      <c r="A3" s="313" t="s">
        <v>14</v>
      </c>
      <c r="B3" s="314" t="s">
        <v>1</v>
      </c>
      <c r="C3" s="315" t="s">
        <v>37</v>
      </c>
      <c r="D3" s="314" t="s">
        <v>24</v>
      </c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  <c r="Q3" s="314"/>
      <c r="R3" s="314"/>
      <c r="S3" s="314"/>
      <c r="T3" s="314"/>
      <c r="U3" s="314"/>
      <c r="V3" s="314"/>
    </row>
    <row r="4" spans="1:22" s="73" customFormat="1" ht="30" customHeight="1" x14ac:dyDescent="0.25">
      <c r="A4" s="313"/>
      <c r="B4" s="314"/>
      <c r="C4" s="315"/>
      <c r="D4" s="338" t="s">
        <v>23</v>
      </c>
      <c r="E4" s="339"/>
      <c r="F4" s="340"/>
      <c r="G4" s="346" t="s">
        <v>60</v>
      </c>
      <c r="H4" s="314"/>
      <c r="I4" s="314"/>
      <c r="J4" s="314"/>
      <c r="K4" s="314"/>
      <c r="L4" s="314"/>
      <c r="M4" s="314"/>
      <c r="N4" s="314"/>
      <c r="O4" s="314"/>
      <c r="P4" s="314"/>
      <c r="Q4" s="314"/>
      <c r="R4" s="338"/>
      <c r="S4" s="344" t="s">
        <v>25</v>
      </c>
      <c r="T4" s="313"/>
      <c r="U4" s="313"/>
      <c r="V4" s="313"/>
    </row>
    <row r="5" spans="1:22" s="73" customFormat="1" ht="31.5" customHeight="1" x14ac:dyDescent="0.25">
      <c r="A5" s="314"/>
      <c r="B5" s="314"/>
      <c r="C5" s="314"/>
      <c r="D5" s="341" t="s">
        <v>15</v>
      </c>
      <c r="E5" s="342"/>
      <c r="F5" s="343"/>
      <c r="G5" s="346" t="s">
        <v>62</v>
      </c>
      <c r="H5" s="314"/>
      <c r="I5" s="314" t="s">
        <v>65</v>
      </c>
      <c r="J5" s="314"/>
      <c r="K5" s="314" t="s">
        <v>66</v>
      </c>
      <c r="L5" s="314"/>
      <c r="M5" s="314" t="s">
        <v>18</v>
      </c>
      <c r="N5" s="314"/>
      <c r="O5" s="315" t="s">
        <v>15</v>
      </c>
      <c r="P5" s="315"/>
      <c r="Q5" s="313" t="s">
        <v>41</v>
      </c>
      <c r="R5" s="337"/>
      <c r="S5" s="345" t="s">
        <v>15</v>
      </c>
      <c r="T5" s="315"/>
      <c r="U5" s="313" t="s">
        <v>41</v>
      </c>
      <c r="V5" s="313"/>
    </row>
    <row r="6" spans="1:22" s="73" customFormat="1" ht="30" customHeight="1" x14ac:dyDescent="0.25">
      <c r="A6" s="314"/>
      <c r="B6" s="314"/>
      <c r="C6" s="314"/>
      <c r="D6" s="60" t="s">
        <v>9</v>
      </c>
      <c r="E6" s="296" t="s">
        <v>17</v>
      </c>
      <c r="F6" s="179" t="s">
        <v>8</v>
      </c>
      <c r="G6" s="298" t="s">
        <v>9</v>
      </c>
      <c r="H6" s="67" t="s">
        <v>17</v>
      </c>
      <c r="I6" s="60" t="s">
        <v>9</v>
      </c>
      <c r="J6" s="67" t="s">
        <v>17</v>
      </c>
      <c r="K6" s="60" t="s">
        <v>9</v>
      </c>
      <c r="L6" s="67" t="s">
        <v>17</v>
      </c>
      <c r="M6" s="60" t="s">
        <v>9</v>
      </c>
      <c r="N6" s="67" t="s">
        <v>17</v>
      </c>
      <c r="O6" s="60" t="s">
        <v>9</v>
      </c>
      <c r="P6" s="67" t="s">
        <v>17</v>
      </c>
      <c r="Q6" s="60" t="s">
        <v>9</v>
      </c>
      <c r="R6" s="75" t="s">
        <v>17</v>
      </c>
      <c r="S6" s="74" t="s">
        <v>9</v>
      </c>
      <c r="T6" s="67" t="s">
        <v>17</v>
      </c>
      <c r="U6" s="60" t="s">
        <v>9</v>
      </c>
      <c r="V6" s="60" t="s">
        <v>17</v>
      </c>
    </row>
    <row r="7" spans="1:22" s="73" customFormat="1" ht="15.6" x14ac:dyDescent="0.25">
      <c r="A7" s="76">
        <v>1</v>
      </c>
      <c r="B7" s="76">
        <v>2</v>
      </c>
      <c r="C7" s="76">
        <v>2</v>
      </c>
      <c r="D7" s="77">
        <v>3</v>
      </c>
      <c r="E7" s="76">
        <v>4</v>
      </c>
      <c r="F7" s="301">
        <v>5</v>
      </c>
      <c r="G7" s="299">
        <v>6</v>
      </c>
      <c r="H7" s="76">
        <v>7</v>
      </c>
      <c r="I7" s="77">
        <v>8</v>
      </c>
      <c r="J7" s="76">
        <v>9</v>
      </c>
      <c r="K7" s="77">
        <v>10</v>
      </c>
      <c r="L7" s="76">
        <v>11</v>
      </c>
      <c r="M7" s="77">
        <v>11</v>
      </c>
      <c r="N7" s="76">
        <v>12</v>
      </c>
      <c r="O7" s="77">
        <v>12</v>
      </c>
      <c r="P7" s="76">
        <v>13</v>
      </c>
      <c r="Q7" s="77">
        <v>14</v>
      </c>
      <c r="R7" s="78">
        <v>15</v>
      </c>
      <c r="S7" s="79">
        <v>16</v>
      </c>
      <c r="T7" s="76">
        <v>17</v>
      </c>
      <c r="U7" s="77">
        <v>18</v>
      </c>
      <c r="V7" s="76">
        <v>19</v>
      </c>
    </row>
    <row r="8" spans="1:22" ht="15.6" x14ac:dyDescent="0.3">
      <c r="A8" s="80">
        <v>12</v>
      </c>
      <c r="B8" s="81" t="s">
        <v>22</v>
      </c>
      <c r="C8" s="82" t="s">
        <v>11</v>
      </c>
      <c r="D8" s="83">
        <f>Sek_1!V7</f>
        <v>490</v>
      </c>
      <c r="E8" s="84">
        <f>Sek_1!W7</f>
        <v>258</v>
      </c>
      <c r="F8" s="302"/>
      <c r="G8" s="86">
        <v>81</v>
      </c>
      <c r="H8" s="87">
        <v>47</v>
      </c>
      <c r="I8" s="86">
        <v>98</v>
      </c>
      <c r="J8" s="88">
        <v>51</v>
      </c>
      <c r="K8" s="89">
        <v>115</v>
      </c>
      <c r="L8" s="88">
        <v>55</v>
      </c>
      <c r="M8" s="89">
        <v>86</v>
      </c>
      <c r="N8" s="88">
        <v>47</v>
      </c>
      <c r="O8" s="83">
        <f t="shared" ref="O8:P10" si="0">G8+I8+K8+M8</f>
        <v>380</v>
      </c>
      <c r="P8" s="90">
        <f t="shared" si="0"/>
        <v>200</v>
      </c>
      <c r="Q8" s="89">
        <v>2</v>
      </c>
      <c r="R8" s="91">
        <v>1</v>
      </c>
      <c r="S8" s="92">
        <f>D8+O8</f>
        <v>870</v>
      </c>
      <c r="T8" s="93">
        <f>E8+P8</f>
        <v>458</v>
      </c>
      <c r="U8" s="94">
        <f>Sek_1!X7+Sek_2!Q8</f>
        <v>4</v>
      </c>
      <c r="V8" s="95">
        <f>Sek_1!Y7+Sek_2!R8</f>
        <v>2</v>
      </c>
    </row>
    <row r="9" spans="1:22" ht="30.6" x14ac:dyDescent="0.3">
      <c r="A9" s="96">
        <v>13</v>
      </c>
      <c r="B9" s="97" t="s">
        <v>22</v>
      </c>
      <c r="C9" s="98" t="s">
        <v>12</v>
      </c>
      <c r="D9" s="3">
        <f>Sek_1!V8</f>
        <v>605</v>
      </c>
      <c r="E9" s="99">
        <f>Sek_1!W8</f>
        <v>315</v>
      </c>
      <c r="F9" s="303"/>
      <c r="G9" s="100">
        <v>110</v>
      </c>
      <c r="H9" s="101">
        <v>58</v>
      </c>
      <c r="I9" s="100">
        <v>113</v>
      </c>
      <c r="J9" s="2">
        <v>57</v>
      </c>
      <c r="K9" s="3">
        <v>109</v>
      </c>
      <c r="L9" s="2">
        <v>63</v>
      </c>
      <c r="M9" s="3">
        <v>106</v>
      </c>
      <c r="N9" s="2">
        <v>60</v>
      </c>
      <c r="O9" s="3">
        <f t="shared" si="0"/>
        <v>438</v>
      </c>
      <c r="P9" s="2">
        <f t="shared" si="0"/>
        <v>238</v>
      </c>
      <c r="Q9" s="3">
        <v>7</v>
      </c>
      <c r="R9" s="99">
        <v>6</v>
      </c>
      <c r="S9" s="102">
        <f>D9+O9</f>
        <v>1043</v>
      </c>
      <c r="T9" s="103">
        <f>E9+P9</f>
        <v>553</v>
      </c>
      <c r="U9" s="104">
        <f>Sek_1!X8+Sek_2!Q9</f>
        <v>8</v>
      </c>
      <c r="V9" s="105">
        <f>Sek_1!Y8+Sek_2!R9</f>
        <v>6</v>
      </c>
    </row>
    <row r="10" spans="1:22" ht="16.2" thickBot="1" x14ac:dyDescent="0.35">
      <c r="A10" s="96">
        <v>14</v>
      </c>
      <c r="B10" s="97" t="s">
        <v>22</v>
      </c>
      <c r="C10" s="106" t="s">
        <v>13</v>
      </c>
      <c r="D10" s="89">
        <f>Sek_1!V9</f>
        <v>509</v>
      </c>
      <c r="E10" s="91">
        <f>Sek_1!W9</f>
        <v>509</v>
      </c>
      <c r="F10" s="304"/>
      <c r="G10" s="100">
        <v>111</v>
      </c>
      <c r="H10" s="101">
        <v>111</v>
      </c>
      <c r="I10" s="100">
        <v>118</v>
      </c>
      <c r="J10" s="2">
        <v>118</v>
      </c>
      <c r="K10" s="3">
        <v>122</v>
      </c>
      <c r="L10" s="2">
        <v>122</v>
      </c>
      <c r="M10" s="3">
        <v>113</v>
      </c>
      <c r="N10" s="2">
        <v>113</v>
      </c>
      <c r="O10" s="89">
        <f t="shared" si="0"/>
        <v>464</v>
      </c>
      <c r="P10" s="88">
        <f t="shared" si="0"/>
        <v>464</v>
      </c>
      <c r="Q10" s="3">
        <v>6</v>
      </c>
      <c r="R10" s="99">
        <v>6</v>
      </c>
      <c r="S10" s="107">
        <f>D10+O10</f>
        <v>973</v>
      </c>
      <c r="T10" s="108">
        <f>E10+P10</f>
        <v>973</v>
      </c>
      <c r="U10" s="109">
        <f>Sek_1!X9+Sek_2!Q10</f>
        <v>11</v>
      </c>
      <c r="V10" s="110">
        <f>Sek_1!Y9+Sek_2!R10</f>
        <v>11</v>
      </c>
    </row>
    <row r="11" spans="1:22" ht="31.8" thickBot="1" x14ac:dyDescent="0.35">
      <c r="A11" s="111"/>
      <c r="B11" s="112" t="s">
        <v>22</v>
      </c>
      <c r="C11" s="113" t="s">
        <v>19</v>
      </c>
      <c r="D11" s="114">
        <f>SUM(D8:D10)</f>
        <v>1604</v>
      </c>
      <c r="E11" s="115">
        <f>SUM(E8:E10)</f>
        <v>1082</v>
      </c>
      <c r="F11" s="125"/>
      <c r="G11" s="117">
        <f>SUM(G8:G10)</f>
        <v>302</v>
      </c>
      <c r="H11" s="118">
        <f>SUM(H8:H10)</f>
        <v>216</v>
      </c>
      <c r="I11" s="117">
        <f t="shared" ref="I11:R11" si="1">SUM(I8:I10)</f>
        <v>329</v>
      </c>
      <c r="J11" s="118">
        <f t="shared" si="1"/>
        <v>226</v>
      </c>
      <c r="K11" s="114">
        <f t="shared" si="1"/>
        <v>346</v>
      </c>
      <c r="L11" s="118">
        <f t="shared" si="1"/>
        <v>240</v>
      </c>
      <c r="M11" s="114">
        <f t="shared" si="1"/>
        <v>305</v>
      </c>
      <c r="N11" s="118">
        <f t="shared" si="1"/>
        <v>220</v>
      </c>
      <c r="O11" s="114">
        <f t="shared" si="1"/>
        <v>1282</v>
      </c>
      <c r="P11" s="118">
        <f t="shared" si="1"/>
        <v>902</v>
      </c>
      <c r="Q11" s="114">
        <f t="shared" si="1"/>
        <v>15</v>
      </c>
      <c r="R11" s="115">
        <f t="shared" si="1"/>
        <v>13</v>
      </c>
      <c r="S11" s="119">
        <f t="shared" ref="S11:V11" si="2">S8+S9+S10</f>
        <v>2886</v>
      </c>
      <c r="T11" s="120">
        <f t="shared" si="2"/>
        <v>1984</v>
      </c>
      <c r="U11" s="120">
        <f t="shared" si="2"/>
        <v>23</v>
      </c>
      <c r="V11" s="122">
        <f t="shared" si="2"/>
        <v>19</v>
      </c>
    </row>
    <row r="12" spans="1:22" ht="31.8" thickBot="1" x14ac:dyDescent="0.35">
      <c r="A12" s="111"/>
      <c r="B12" s="112" t="s">
        <v>22</v>
      </c>
      <c r="C12" s="113" t="s">
        <v>21</v>
      </c>
      <c r="D12" s="114">
        <v>6075</v>
      </c>
      <c r="E12" s="115">
        <v>2924</v>
      </c>
      <c r="F12" s="125"/>
      <c r="G12" s="117">
        <v>985</v>
      </c>
      <c r="H12" s="123">
        <v>537</v>
      </c>
      <c r="I12" s="117">
        <v>1076</v>
      </c>
      <c r="J12" s="118">
        <v>569</v>
      </c>
      <c r="K12" s="124">
        <v>1144</v>
      </c>
      <c r="L12" s="118">
        <v>604</v>
      </c>
      <c r="M12" s="114">
        <v>1019</v>
      </c>
      <c r="N12" s="116">
        <v>503</v>
      </c>
      <c r="O12" s="114">
        <f>G12+I12+K12+M12</f>
        <v>4224</v>
      </c>
      <c r="P12" s="118">
        <f>H12+J12+L12+N12</f>
        <v>2213</v>
      </c>
      <c r="Q12" s="114">
        <v>153</v>
      </c>
      <c r="R12" s="125">
        <v>82</v>
      </c>
      <c r="S12" s="117">
        <f>D12+O12</f>
        <v>10299</v>
      </c>
      <c r="T12" s="116">
        <f>E12+P12</f>
        <v>5137</v>
      </c>
      <c r="U12" s="114">
        <v>302</v>
      </c>
      <c r="V12" s="126">
        <v>154</v>
      </c>
    </row>
    <row r="13" spans="1:22" ht="31.8" thickBot="1" x14ac:dyDescent="0.35">
      <c r="A13" s="127"/>
      <c r="B13" s="112" t="s">
        <v>22</v>
      </c>
      <c r="C13" s="128" t="s">
        <v>27</v>
      </c>
      <c r="D13" s="129">
        <f t="shared" ref="D13:V13" si="3">SUM(D11:D12)</f>
        <v>7679</v>
      </c>
      <c r="E13" s="130">
        <f t="shared" si="3"/>
        <v>4006</v>
      </c>
      <c r="F13" s="305"/>
      <c r="G13" s="131">
        <f>SUM(G11:G12)</f>
        <v>1287</v>
      </c>
      <c r="H13" s="129">
        <f>SUM(H11:H12)</f>
        <v>753</v>
      </c>
      <c r="I13" s="120">
        <f t="shared" si="3"/>
        <v>1405</v>
      </c>
      <c r="J13" s="132">
        <f t="shared" si="3"/>
        <v>795</v>
      </c>
      <c r="K13" s="133">
        <f t="shared" si="3"/>
        <v>1490</v>
      </c>
      <c r="L13" s="132">
        <f t="shared" si="3"/>
        <v>844</v>
      </c>
      <c r="M13" s="132">
        <f t="shared" si="3"/>
        <v>1324</v>
      </c>
      <c r="N13" s="133">
        <f t="shared" si="3"/>
        <v>723</v>
      </c>
      <c r="O13" s="132">
        <f t="shared" si="3"/>
        <v>5506</v>
      </c>
      <c r="P13" s="133">
        <f t="shared" si="3"/>
        <v>3115</v>
      </c>
      <c r="Q13" s="132">
        <f t="shared" si="3"/>
        <v>168</v>
      </c>
      <c r="R13" s="134">
        <f t="shared" si="3"/>
        <v>95</v>
      </c>
      <c r="S13" s="120">
        <f t="shared" si="3"/>
        <v>13185</v>
      </c>
      <c r="T13" s="133">
        <f t="shared" si="3"/>
        <v>7121</v>
      </c>
      <c r="U13" s="132">
        <f t="shared" si="3"/>
        <v>325</v>
      </c>
      <c r="V13" s="135">
        <f t="shared" si="3"/>
        <v>173</v>
      </c>
    </row>
    <row r="14" spans="1:22" ht="18" thickBot="1" x14ac:dyDescent="0.3">
      <c r="A14" s="136" t="s">
        <v>26</v>
      </c>
      <c r="D14" s="85"/>
      <c r="E14" s="85"/>
      <c r="F14" s="302"/>
    </row>
    <row r="15" spans="1:22" ht="15.6" x14ac:dyDescent="0.3">
      <c r="A15" s="138">
        <v>12</v>
      </c>
      <c r="B15" s="97" t="s">
        <v>28</v>
      </c>
      <c r="C15" s="139" t="s">
        <v>11</v>
      </c>
      <c r="D15" s="140">
        <f>Sek_1!V13</f>
        <v>473</v>
      </c>
      <c r="E15" s="141">
        <f>Sek_1!W13</f>
        <v>245</v>
      </c>
      <c r="F15" s="306"/>
      <c r="G15" s="142">
        <v>102</v>
      </c>
      <c r="H15" s="143">
        <v>53</v>
      </c>
      <c r="I15" s="142">
        <v>81</v>
      </c>
      <c r="J15" s="144">
        <v>47</v>
      </c>
      <c r="K15" s="140">
        <v>98</v>
      </c>
      <c r="L15" s="144">
        <v>47</v>
      </c>
      <c r="M15" s="140">
        <v>112</v>
      </c>
      <c r="N15" s="144">
        <v>55</v>
      </c>
      <c r="O15" s="145">
        <f t="shared" ref="O15:P17" si="4">G15+I15+K15+M15</f>
        <v>393</v>
      </c>
      <c r="P15" s="146">
        <f t="shared" si="4"/>
        <v>202</v>
      </c>
      <c r="Q15" s="140">
        <v>1</v>
      </c>
      <c r="R15" s="141">
        <v>0</v>
      </c>
      <c r="S15" s="147">
        <f>D15+O15</f>
        <v>866</v>
      </c>
      <c r="T15" s="118">
        <f>E15+P15</f>
        <v>447</v>
      </c>
      <c r="U15" s="114">
        <f>Sek_1!X13+Sek_2!Q15</f>
        <v>2</v>
      </c>
      <c r="V15" s="115">
        <f>Sek_1!Y13+Sek_2!R15</f>
        <v>1</v>
      </c>
    </row>
    <row r="16" spans="1:22" ht="30.6" x14ac:dyDescent="0.3">
      <c r="A16" s="96">
        <v>13</v>
      </c>
      <c r="B16" s="97" t="s">
        <v>28</v>
      </c>
      <c r="C16" s="98" t="s">
        <v>12</v>
      </c>
      <c r="D16" s="3">
        <f>Sek_1!V14</f>
        <v>613</v>
      </c>
      <c r="E16" s="99">
        <f>Sek_1!W14</f>
        <v>329</v>
      </c>
      <c r="F16" s="303"/>
      <c r="G16" s="100">
        <v>118</v>
      </c>
      <c r="H16" s="101">
        <v>56</v>
      </c>
      <c r="I16" s="100">
        <v>105</v>
      </c>
      <c r="J16" s="2">
        <v>48</v>
      </c>
      <c r="K16" s="3">
        <v>110</v>
      </c>
      <c r="L16" s="2">
        <v>56</v>
      </c>
      <c r="M16" s="3">
        <v>111</v>
      </c>
      <c r="N16" s="2">
        <v>65</v>
      </c>
      <c r="O16" s="3">
        <f t="shared" si="4"/>
        <v>444</v>
      </c>
      <c r="P16" s="2">
        <f t="shared" si="4"/>
        <v>225</v>
      </c>
      <c r="Q16" s="3">
        <v>6</v>
      </c>
      <c r="R16" s="99">
        <v>4</v>
      </c>
      <c r="S16" s="102">
        <f>D16+O16</f>
        <v>1057</v>
      </c>
      <c r="T16" s="103">
        <f>E16+P16</f>
        <v>554</v>
      </c>
      <c r="U16" s="104">
        <f>Sek_1!X14+Sek_2!Q16</f>
        <v>8</v>
      </c>
      <c r="V16" s="105">
        <f>Sek_1!Y14+Sek_2!R16</f>
        <v>6</v>
      </c>
    </row>
    <row r="17" spans="1:22" ht="16.2" thickBot="1" x14ac:dyDescent="0.35">
      <c r="A17" s="96">
        <v>14</v>
      </c>
      <c r="B17" s="97" t="s">
        <v>28</v>
      </c>
      <c r="C17" s="106" t="s">
        <v>13</v>
      </c>
      <c r="D17" s="89">
        <f>Sek_1!V15</f>
        <v>529</v>
      </c>
      <c r="E17" s="91">
        <f>Sek_1!W15</f>
        <v>529</v>
      </c>
      <c r="F17" s="304"/>
      <c r="G17" s="100">
        <v>103</v>
      </c>
      <c r="H17" s="101">
        <v>103</v>
      </c>
      <c r="I17" s="100">
        <v>112</v>
      </c>
      <c r="J17" s="2">
        <v>112</v>
      </c>
      <c r="K17" s="3">
        <v>117</v>
      </c>
      <c r="L17" s="2">
        <v>117</v>
      </c>
      <c r="M17" s="3">
        <v>123</v>
      </c>
      <c r="N17" s="2">
        <v>123</v>
      </c>
      <c r="O17" s="89">
        <f t="shared" si="4"/>
        <v>455</v>
      </c>
      <c r="P17" s="88">
        <f t="shared" si="4"/>
        <v>455</v>
      </c>
      <c r="Q17" s="3">
        <v>10</v>
      </c>
      <c r="R17" s="99">
        <v>10</v>
      </c>
      <c r="S17" s="107">
        <f>D17+O17</f>
        <v>984</v>
      </c>
      <c r="T17" s="108">
        <f>E17+P17</f>
        <v>984</v>
      </c>
      <c r="U17" s="94">
        <f>Sek_1!X15+Sek_2!Q17</f>
        <v>13</v>
      </c>
      <c r="V17" s="95">
        <f>Sek_1!Y15+Sek_2!R17</f>
        <v>13</v>
      </c>
    </row>
    <row r="18" spans="1:22" ht="31.8" thickBot="1" x14ac:dyDescent="0.35">
      <c r="A18" s="111"/>
      <c r="B18" s="112" t="s">
        <v>28</v>
      </c>
      <c r="C18" s="113" t="s">
        <v>19</v>
      </c>
      <c r="D18" s="114">
        <f t="shared" ref="D18:R18" si="5">SUM(D15:D17)</f>
        <v>1615</v>
      </c>
      <c r="E18" s="115">
        <f t="shared" si="5"/>
        <v>1103</v>
      </c>
      <c r="F18" s="125"/>
      <c r="G18" s="117">
        <f t="shared" si="5"/>
        <v>323</v>
      </c>
      <c r="H18" s="118">
        <f t="shared" si="5"/>
        <v>212</v>
      </c>
      <c r="I18" s="117">
        <f t="shared" si="5"/>
        <v>298</v>
      </c>
      <c r="J18" s="118">
        <f t="shared" si="5"/>
        <v>207</v>
      </c>
      <c r="K18" s="114">
        <f t="shared" si="5"/>
        <v>325</v>
      </c>
      <c r="L18" s="118">
        <f t="shared" si="5"/>
        <v>220</v>
      </c>
      <c r="M18" s="114">
        <f t="shared" si="5"/>
        <v>346</v>
      </c>
      <c r="N18" s="118">
        <f t="shared" si="5"/>
        <v>243</v>
      </c>
      <c r="O18" s="114">
        <f t="shared" si="5"/>
        <v>1292</v>
      </c>
      <c r="P18" s="118">
        <f t="shared" si="5"/>
        <v>882</v>
      </c>
      <c r="Q18" s="114">
        <f t="shared" si="5"/>
        <v>17</v>
      </c>
      <c r="R18" s="115">
        <f t="shared" si="5"/>
        <v>14</v>
      </c>
      <c r="S18" s="119">
        <f t="shared" ref="S18:V18" si="6">S15+S16+S17</f>
        <v>2907</v>
      </c>
      <c r="T18" s="120">
        <f t="shared" si="6"/>
        <v>1985</v>
      </c>
      <c r="U18" s="120">
        <f t="shared" si="6"/>
        <v>23</v>
      </c>
      <c r="V18" s="122">
        <f t="shared" si="6"/>
        <v>20</v>
      </c>
    </row>
    <row r="19" spans="1:22" ht="31.8" thickBot="1" x14ac:dyDescent="0.35">
      <c r="A19" s="111"/>
      <c r="B19" s="112" t="s">
        <v>28</v>
      </c>
      <c r="C19" s="113" t="s">
        <v>21</v>
      </c>
      <c r="D19" s="114">
        <v>6135</v>
      </c>
      <c r="E19" s="115">
        <v>2913</v>
      </c>
      <c r="F19" s="125"/>
      <c r="G19" s="117">
        <v>1398</v>
      </c>
      <c r="H19" s="123">
        <v>700</v>
      </c>
      <c r="I19" s="117">
        <v>905</v>
      </c>
      <c r="J19" s="118">
        <v>492</v>
      </c>
      <c r="K19" s="124">
        <v>1059</v>
      </c>
      <c r="L19" s="118">
        <v>551</v>
      </c>
      <c r="M19" s="114">
        <v>1047</v>
      </c>
      <c r="N19" s="116">
        <v>552</v>
      </c>
      <c r="O19" s="114">
        <f>G19+I19+K19+M19</f>
        <v>4409</v>
      </c>
      <c r="P19" s="118">
        <f>H19+J19+L19+N19</f>
        <v>2295</v>
      </c>
      <c r="Q19" s="114">
        <v>151</v>
      </c>
      <c r="R19" s="125">
        <v>81</v>
      </c>
      <c r="S19" s="117">
        <f>D19+O19</f>
        <v>10544</v>
      </c>
      <c r="T19" s="116">
        <f>E19+P19</f>
        <v>5208</v>
      </c>
      <c r="U19" s="114">
        <f>Q19+Sek_1!X17</f>
        <v>307</v>
      </c>
      <c r="V19" s="135">
        <f>R19+Sek_1!Y17</f>
        <v>152</v>
      </c>
    </row>
    <row r="20" spans="1:22" ht="31.8" thickBot="1" x14ac:dyDescent="0.35">
      <c r="A20" s="127"/>
      <c r="B20" s="112" t="s">
        <v>28</v>
      </c>
      <c r="C20" s="128" t="s">
        <v>27</v>
      </c>
      <c r="D20" s="129">
        <f t="shared" ref="D20:V20" si="7">SUM(D18:D19)</f>
        <v>7750</v>
      </c>
      <c r="E20" s="130">
        <f t="shared" si="7"/>
        <v>4016</v>
      </c>
      <c r="F20" s="305"/>
      <c r="G20" s="131">
        <f t="shared" si="7"/>
        <v>1721</v>
      </c>
      <c r="H20" s="129">
        <f t="shared" si="7"/>
        <v>912</v>
      </c>
      <c r="I20" s="120">
        <f t="shared" si="7"/>
        <v>1203</v>
      </c>
      <c r="J20" s="132">
        <f t="shared" si="7"/>
        <v>699</v>
      </c>
      <c r="K20" s="133">
        <f t="shared" si="7"/>
        <v>1384</v>
      </c>
      <c r="L20" s="132">
        <f t="shared" si="7"/>
        <v>771</v>
      </c>
      <c r="M20" s="132">
        <f t="shared" si="7"/>
        <v>1393</v>
      </c>
      <c r="N20" s="133">
        <f t="shared" si="7"/>
        <v>795</v>
      </c>
      <c r="O20" s="132">
        <f t="shared" si="7"/>
        <v>5701</v>
      </c>
      <c r="P20" s="133">
        <f t="shared" si="7"/>
        <v>3177</v>
      </c>
      <c r="Q20" s="132">
        <f t="shared" si="7"/>
        <v>168</v>
      </c>
      <c r="R20" s="134">
        <f t="shared" si="7"/>
        <v>95</v>
      </c>
      <c r="S20" s="120">
        <f t="shared" si="7"/>
        <v>13451</v>
      </c>
      <c r="T20" s="133">
        <f t="shared" si="7"/>
        <v>7193</v>
      </c>
      <c r="U20" s="132">
        <f t="shared" si="7"/>
        <v>330</v>
      </c>
      <c r="V20" s="135">
        <f t="shared" si="7"/>
        <v>172</v>
      </c>
    </row>
    <row r="21" spans="1:22" ht="17.399999999999999" x14ac:dyDescent="0.25">
      <c r="A21" s="136" t="s">
        <v>26</v>
      </c>
      <c r="D21" s="85"/>
      <c r="E21" s="85"/>
      <c r="F21" s="302"/>
    </row>
    <row r="22" spans="1:22" ht="18" thickBot="1" x14ac:dyDescent="0.3">
      <c r="A22" s="136" t="s">
        <v>29</v>
      </c>
      <c r="B22" s="148"/>
      <c r="D22" s="85"/>
      <c r="E22" s="85"/>
      <c r="F22" s="302"/>
    </row>
    <row r="23" spans="1:22" ht="15.6" x14ac:dyDescent="0.3">
      <c r="A23" s="138">
        <v>12</v>
      </c>
      <c r="B23" s="81" t="s">
        <v>30</v>
      </c>
      <c r="C23" s="139" t="s">
        <v>11</v>
      </c>
      <c r="D23" s="149">
        <f>Sek_1!V19</f>
        <v>463</v>
      </c>
      <c r="E23" s="150">
        <f>Sek_1!W19</f>
        <v>230</v>
      </c>
      <c r="F23" s="307"/>
      <c r="G23" s="142">
        <v>110</v>
      </c>
      <c r="H23" s="143">
        <v>65</v>
      </c>
      <c r="I23" s="142">
        <v>99</v>
      </c>
      <c r="J23" s="144">
        <v>51</v>
      </c>
      <c r="K23" s="140">
        <v>67</v>
      </c>
      <c r="L23" s="144">
        <v>39</v>
      </c>
      <c r="M23" s="140">
        <v>101</v>
      </c>
      <c r="N23" s="144">
        <v>49</v>
      </c>
      <c r="O23" s="145">
        <f t="shared" ref="O23:P25" si="8">G23+I23+K23+M23</f>
        <v>377</v>
      </c>
      <c r="P23" s="146">
        <f>H23+J23+L23+N23</f>
        <v>204</v>
      </c>
      <c r="Q23" s="140">
        <v>0</v>
      </c>
      <c r="R23" s="141">
        <v>0</v>
      </c>
      <c r="S23" s="147">
        <f>D23+O23</f>
        <v>840</v>
      </c>
      <c r="T23" s="118">
        <f>E23+P23</f>
        <v>434</v>
      </c>
      <c r="U23" s="114">
        <f>Sek_1!X19+Q23</f>
        <v>4</v>
      </c>
      <c r="V23" s="115">
        <f>Sek_1!Y19+R23</f>
        <v>3</v>
      </c>
    </row>
    <row r="24" spans="1:22" ht="30.6" x14ac:dyDescent="0.3">
      <c r="A24" s="96">
        <v>13</v>
      </c>
      <c r="B24" s="97" t="s">
        <v>30</v>
      </c>
      <c r="C24" s="98" t="s">
        <v>12</v>
      </c>
      <c r="D24" s="152">
        <f>Sek_1!V20</f>
        <v>623</v>
      </c>
      <c r="E24" s="105">
        <f>Sek_1!W20</f>
        <v>334</v>
      </c>
      <c r="F24" s="308"/>
      <c r="G24" s="100">
        <v>125</v>
      </c>
      <c r="H24" s="101">
        <v>70</v>
      </c>
      <c r="I24" s="100">
        <v>125</v>
      </c>
      <c r="J24" s="2">
        <v>59</v>
      </c>
      <c r="K24" s="3">
        <v>98</v>
      </c>
      <c r="L24" s="2">
        <v>53</v>
      </c>
      <c r="M24" s="3">
        <v>106</v>
      </c>
      <c r="N24" s="2">
        <v>52</v>
      </c>
      <c r="O24" s="3">
        <f t="shared" si="8"/>
        <v>454</v>
      </c>
      <c r="P24" s="2">
        <f t="shared" si="8"/>
        <v>234</v>
      </c>
      <c r="Q24" s="3">
        <v>5</v>
      </c>
      <c r="R24" s="99">
        <v>3</v>
      </c>
      <c r="S24" s="102">
        <f>D24+O24</f>
        <v>1077</v>
      </c>
      <c r="T24" s="103">
        <f>E24+P24</f>
        <v>568</v>
      </c>
      <c r="U24" s="104">
        <f>Sek_1!X20+Sek_2!Q24</f>
        <v>7</v>
      </c>
      <c r="V24" s="105">
        <f>Sek_1!Y20+Sek_2!R24</f>
        <v>5</v>
      </c>
    </row>
    <row r="25" spans="1:22" ht="16.2" thickBot="1" x14ac:dyDescent="0.35">
      <c r="A25" s="96">
        <v>14</v>
      </c>
      <c r="B25" s="97" t="s">
        <v>30</v>
      </c>
      <c r="C25" s="106" t="s">
        <v>13</v>
      </c>
      <c r="D25" s="152">
        <f>Sek_1!V21</f>
        <v>536</v>
      </c>
      <c r="E25" s="153">
        <f>Sek_1!W21</f>
        <v>536</v>
      </c>
      <c r="F25" s="309"/>
      <c r="G25" s="100">
        <v>114</v>
      </c>
      <c r="H25" s="101">
        <v>114</v>
      </c>
      <c r="I25" s="100">
        <v>98</v>
      </c>
      <c r="J25" s="2">
        <v>98</v>
      </c>
      <c r="K25" s="3">
        <f>107+2</f>
        <v>109</v>
      </c>
      <c r="L25" s="2">
        <f>107+2</f>
        <v>109</v>
      </c>
      <c r="M25" s="3">
        <v>108</v>
      </c>
      <c r="N25" s="2">
        <v>108</v>
      </c>
      <c r="O25" s="89">
        <f t="shared" si="8"/>
        <v>429</v>
      </c>
      <c r="P25" s="88">
        <f t="shared" si="8"/>
        <v>429</v>
      </c>
      <c r="Q25" s="3">
        <v>7</v>
      </c>
      <c r="R25" s="99">
        <v>7</v>
      </c>
      <c r="S25" s="107">
        <f>D25+O25</f>
        <v>965</v>
      </c>
      <c r="T25" s="108">
        <f>E25+P25</f>
        <v>965</v>
      </c>
      <c r="U25" s="104">
        <f>Sek_1!X21+Sek_2!Q25</f>
        <v>9</v>
      </c>
      <c r="V25" s="105">
        <f>Sek_1!Y21+Sek_2!R25</f>
        <v>9</v>
      </c>
    </row>
    <row r="26" spans="1:22" ht="31.8" thickBot="1" x14ac:dyDescent="0.35">
      <c r="A26" s="111"/>
      <c r="B26" s="112" t="s">
        <v>30</v>
      </c>
      <c r="C26" s="113" t="s">
        <v>19</v>
      </c>
      <c r="D26" s="114">
        <f t="shared" ref="D26:R26" si="9">SUM(D23:D25)</f>
        <v>1622</v>
      </c>
      <c r="E26" s="115">
        <f t="shared" si="9"/>
        <v>1100</v>
      </c>
      <c r="F26" s="125"/>
      <c r="G26" s="117">
        <f t="shared" si="9"/>
        <v>349</v>
      </c>
      <c r="H26" s="118">
        <f t="shared" si="9"/>
        <v>249</v>
      </c>
      <c r="I26" s="117">
        <f t="shared" si="9"/>
        <v>322</v>
      </c>
      <c r="J26" s="118">
        <f t="shared" si="9"/>
        <v>208</v>
      </c>
      <c r="K26" s="114">
        <f t="shared" si="9"/>
        <v>274</v>
      </c>
      <c r="L26" s="118">
        <f t="shared" si="9"/>
        <v>201</v>
      </c>
      <c r="M26" s="114">
        <f t="shared" si="9"/>
        <v>315</v>
      </c>
      <c r="N26" s="118">
        <f t="shared" si="9"/>
        <v>209</v>
      </c>
      <c r="O26" s="114">
        <f t="shared" si="9"/>
        <v>1260</v>
      </c>
      <c r="P26" s="118">
        <f t="shared" si="9"/>
        <v>867</v>
      </c>
      <c r="Q26" s="114">
        <f t="shared" si="9"/>
        <v>12</v>
      </c>
      <c r="R26" s="115">
        <f t="shared" si="9"/>
        <v>10</v>
      </c>
      <c r="S26" s="119">
        <f t="shared" ref="S26:V26" si="10">S23+S24+S25</f>
        <v>2882</v>
      </c>
      <c r="T26" s="120">
        <f t="shared" si="10"/>
        <v>1967</v>
      </c>
      <c r="U26" s="120">
        <f t="shared" si="10"/>
        <v>20</v>
      </c>
      <c r="V26" s="122">
        <f t="shared" si="10"/>
        <v>17</v>
      </c>
    </row>
    <row r="27" spans="1:22" ht="31.8" thickBot="1" x14ac:dyDescent="0.35">
      <c r="A27" s="111"/>
      <c r="B27" s="112" t="s">
        <v>30</v>
      </c>
      <c r="C27" s="113" t="s">
        <v>21</v>
      </c>
      <c r="D27" s="114">
        <v>6082</v>
      </c>
      <c r="E27" s="115">
        <v>2876</v>
      </c>
      <c r="F27" s="125"/>
      <c r="G27" s="117">
        <v>1291</v>
      </c>
      <c r="H27" s="123">
        <v>632</v>
      </c>
      <c r="I27" s="117">
        <v>1400</v>
      </c>
      <c r="J27" s="118">
        <v>709</v>
      </c>
      <c r="K27" s="124">
        <v>819</v>
      </c>
      <c r="L27" s="118">
        <v>447</v>
      </c>
      <c r="M27" s="114">
        <v>992</v>
      </c>
      <c r="N27" s="116">
        <v>513</v>
      </c>
      <c r="O27" s="114">
        <f>G27+I27+K27+M27</f>
        <v>4502</v>
      </c>
      <c r="P27" s="118">
        <f>H27+J27+L27+N27</f>
        <v>2301</v>
      </c>
      <c r="Q27" s="114">
        <v>135</v>
      </c>
      <c r="R27" s="125">
        <v>71</v>
      </c>
      <c r="S27" s="117">
        <f>D27+O27</f>
        <v>10584</v>
      </c>
      <c r="T27" s="116">
        <f>E27+P27</f>
        <v>5177</v>
      </c>
      <c r="U27" s="114">
        <f>Q27+Sek_1!X23</f>
        <v>306</v>
      </c>
      <c r="V27" s="126">
        <f>R27+Sek_1!Y23</f>
        <v>152</v>
      </c>
    </row>
    <row r="28" spans="1:22" ht="31.8" thickBot="1" x14ac:dyDescent="0.35">
      <c r="A28" s="127"/>
      <c r="B28" s="112" t="s">
        <v>30</v>
      </c>
      <c r="C28" s="128" t="s">
        <v>27</v>
      </c>
      <c r="D28" s="129">
        <f t="shared" ref="D28:V28" si="11">SUM(D26:D27)</f>
        <v>7704</v>
      </c>
      <c r="E28" s="130">
        <f t="shared" si="11"/>
        <v>3976</v>
      </c>
      <c r="F28" s="305"/>
      <c r="G28" s="131">
        <f t="shared" si="11"/>
        <v>1640</v>
      </c>
      <c r="H28" s="129">
        <f t="shared" si="11"/>
        <v>881</v>
      </c>
      <c r="I28" s="120">
        <f t="shared" si="11"/>
        <v>1722</v>
      </c>
      <c r="J28" s="132">
        <f t="shared" si="11"/>
        <v>917</v>
      </c>
      <c r="K28" s="133">
        <f t="shared" si="11"/>
        <v>1093</v>
      </c>
      <c r="L28" s="132">
        <f t="shared" si="11"/>
        <v>648</v>
      </c>
      <c r="M28" s="132">
        <f t="shared" si="11"/>
        <v>1307</v>
      </c>
      <c r="N28" s="133">
        <f t="shared" si="11"/>
        <v>722</v>
      </c>
      <c r="O28" s="132">
        <f t="shared" si="11"/>
        <v>5762</v>
      </c>
      <c r="P28" s="133">
        <f t="shared" si="11"/>
        <v>3168</v>
      </c>
      <c r="Q28" s="132">
        <f t="shared" si="11"/>
        <v>147</v>
      </c>
      <c r="R28" s="134">
        <f t="shared" si="11"/>
        <v>81</v>
      </c>
      <c r="S28" s="120">
        <f t="shared" si="11"/>
        <v>13466</v>
      </c>
      <c r="T28" s="133">
        <f t="shared" si="11"/>
        <v>7144</v>
      </c>
      <c r="U28" s="132">
        <f t="shared" si="11"/>
        <v>326</v>
      </c>
      <c r="V28" s="135">
        <f t="shared" si="11"/>
        <v>169</v>
      </c>
    </row>
    <row r="29" spans="1:22" ht="15" x14ac:dyDescent="0.25">
      <c r="D29" s="85"/>
      <c r="E29" s="85"/>
      <c r="F29" s="302"/>
    </row>
    <row r="30" spans="1:22" ht="18" thickBot="1" x14ac:dyDescent="0.3">
      <c r="A30" s="136" t="s">
        <v>31</v>
      </c>
      <c r="D30" s="85"/>
      <c r="E30" s="85"/>
      <c r="F30" s="302"/>
    </row>
    <row r="31" spans="1:22" ht="15.6" x14ac:dyDescent="0.3">
      <c r="A31" s="138">
        <v>12</v>
      </c>
      <c r="B31" s="81" t="s">
        <v>32</v>
      </c>
      <c r="C31" s="139" t="s">
        <v>11</v>
      </c>
      <c r="D31" s="149">
        <f>Sek_1!V25</f>
        <v>480</v>
      </c>
      <c r="E31" s="151">
        <f>Sek_1!W25</f>
        <v>227</v>
      </c>
      <c r="F31" s="307"/>
      <c r="G31" s="142">
        <v>94</v>
      </c>
      <c r="H31" s="143">
        <v>50</v>
      </c>
      <c r="I31" s="142">
        <v>107</v>
      </c>
      <c r="J31" s="144">
        <v>62</v>
      </c>
      <c r="K31" s="140">
        <v>95</v>
      </c>
      <c r="L31" s="144">
        <v>50</v>
      </c>
      <c r="M31" s="154"/>
      <c r="N31" s="154"/>
      <c r="O31" s="145">
        <f t="shared" ref="O31:P33" si="12">G31+I31+K31+M31</f>
        <v>296</v>
      </c>
      <c r="P31" s="146">
        <f t="shared" si="12"/>
        <v>162</v>
      </c>
      <c r="Q31" s="140">
        <v>2</v>
      </c>
      <c r="R31" s="141">
        <v>2</v>
      </c>
      <c r="S31" s="147">
        <f>D31+O31</f>
        <v>776</v>
      </c>
      <c r="T31" s="118">
        <f>E31+P31</f>
        <v>389</v>
      </c>
      <c r="U31" s="149">
        <f>Sek_1!X25+Q31</f>
        <v>4</v>
      </c>
      <c r="V31" s="150">
        <f>Sek_1!Y25+R31</f>
        <v>3</v>
      </c>
    </row>
    <row r="32" spans="1:22" ht="30.6" x14ac:dyDescent="0.3">
      <c r="A32" s="96">
        <v>13</v>
      </c>
      <c r="B32" s="97" t="s">
        <v>32</v>
      </c>
      <c r="C32" s="98" t="s">
        <v>12</v>
      </c>
      <c r="D32" s="104">
        <f>Sek_1!V26</f>
        <v>634</v>
      </c>
      <c r="E32" s="103">
        <f>Sek_1!W26</f>
        <v>336</v>
      </c>
      <c r="F32" s="308"/>
      <c r="G32" s="100">
        <v>127</v>
      </c>
      <c r="H32" s="101">
        <v>76</v>
      </c>
      <c r="I32" s="100">
        <v>129</v>
      </c>
      <c r="J32" s="2">
        <v>72</v>
      </c>
      <c r="K32" s="3">
        <v>114</v>
      </c>
      <c r="L32" s="2">
        <v>56</v>
      </c>
      <c r="M32" s="155"/>
      <c r="N32" s="155"/>
      <c r="O32" s="3">
        <f t="shared" si="12"/>
        <v>370</v>
      </c>
      <c r="P32" s="2">
        <f t="shared" si="12"/>
        <v>204</v>
      </c>
      <c r="Q32" s="3">
        <v>4</v>
      </c>
      <c r="R32" s="99">
        <v>3</v>
      </c>
      <c r="S32" s="102">
        <f>D32+O32</f>
        <v>1004</v>
      </c>
      <c r="T32" s="103">
        <f>E32+P32</f>
        <v>540</v>
      </c>
      <c r="U32" s="104">
        <f>Sek_1!X26+Q32</f>
        <v>6</v>
      </c>
      <c r="V32" s="105">
        <f>Sek_1!Y26+R32</f>
        <v>5</v>
      </c>
    </row>
    <row r="33" spans="1:22" ht="16.2" thickBot="1" x14ac:dyDescent="0.35">
      <c r="A33" s="96">
        <v>14</v>
      </c>
      <c r="B33" s="97" t="s">
        <v>32</v>
      </c>
      <c r="C33" s="106" t="s">
        <v>13</v>
      </c>
      <c r="D33" s="152">
        <f>Sek_1!V27</f>
        <v>554</v>
      </c>
      <c r="E33" s="156">
        <f>Sek_1!W27</f>
        <v>554</v>
      </c>
      <c r="F33" s="309"/>
      <c r="G33" s="100">
        <f>116+1+1</f>
        <v>118</v>
      </c>
      <c r="H33" s="101">
        <v>118</v>
      </c>
      <c r="I33" s="100">
        <f>106+2</f>
        <v>108</v>
      </c>
      <c r="J33" s="2">
        <v>108</v>
      </c>
      <c r="K33" s="3">
        <f>96</f>
        <v>96</v>
      </c>
      <c r="L33" s="2">
        <v>96</v>
      </c>
      <c r="M33" s="157"/>
      <c r="N33" s="157"/>
      <c r="O33" s="89">
        <f t="shared" si="12"/>
        <v>322</v>
      </c>
      <c r="P33" s="88">
        <f t="shared" si="12"/>
        <v>322</v>
      </c>
      <c r="Q33" s="3">
        <v>6</v>
      </c>
      <c r="R33" s="99">
        <v>6</v>
      </c>
      <c r="S33" s="107">
        <f>D33+O33</f>
        <v>876</v>
      </c>
      <c r="T33" s="108">
        <f>E33+P33</f>
        <v>876</v>
      </c>
      <c r="U33" s="152">
        <f>Sek_1!X27+Q33</f>
        <v>12</v>
      </c>
      <c r="V33" s="153">
        <f>Sek_1!Y27+R33</f>
        <v>12</v>
      </c>
    </row>
    <row r="34" spans="1:22" ht="31.8" thickBot="1" x14ac:dyDescent="0.35">
      <c r="A34" s="111"/>
      <c r="B34" s="112" t="s">
        <v>32</v>
      </c>
      <c r="C34" s="113" t="s">
        <v>19</v>
      </c>
      <c r="D34" s="149">
        <f>Sek_1!V28</f>
        <v>1668</v>
      </c>
      <c r="E34" s="151">
        <f>Sek_1!W28</f>
        <v>1117</v>
      </c>
      <c r="F34" s="125"/>
      <c r="G34" s="117">
        <f t="shared" ref="G34:R34" si="13">SUM(G31:G33)</f>
        <v>339</v>
      </c>
      <c r="H34" s="118">
        <f t="shared" si="13"/>
        <v>244</v>
      </c>
      <c r="I34" s="117">
        <f t="shared" si="13"/>
        <v>344</v>
      </c>
      <c r="J34" s="118">
        <f t="shared" si="13"/>
        <v>242</v>
      </c>
      <c r="K34" s="114">
        <f t="shared" si="13"/>
        <v>305</v>
      </c>
      <c r="L34" s="118">
        <f t="shared" si="13"/>
        <v>202</v>
      </c>
      <c r="M34" s="157"/>
      <c r="N34" s="157"/>
      <c r="O34" s="114">
        <f t="shared" si="13"/>
        <v>988</v>
      </c>
      <c r="P34" s="118">
        <f t="shared" si="13"/>
        <v>688</v>
      </c>
      <c r="Q34" s="114">
        <f t="shared" si="13"/>
        <v>12</v>
      </c>
      <c r="R34" s="115">
        <f t="shared" si="13"/>
        <v>11</v>
      </c>
      <c r="S34" s="119">
        <f t="shared" ref="S34:V34" si="14">S31+S32+S33</f>
        <v>2656</v>
      </c>
      <c r="T34" s="121">
        <f t="shared" si="14"/>
        <v>1805</v>
      </c>
      <c r="U34" s="120">
        <f t="shared" si="14"/>
        <v>22</v>
      </c>
      <c r="V34" s="122">
        <f t="shared" si="14"/>
        <v>20</v>
      </c>
    </row>
    <row r="35" spans="1:22" ht="31.8" thickBot="1" x14ac:dyDescent="0.35">
      <c r="A35" s="111"/>
      <c r="B35" s="112" t="s">
        <v>32</v>
      </c>
      <c r="C35" s="113" t="s">
        <v>21</v>
      </c>
      <c r="D35" s="149">
        <f>Sek_1!V29</f>
        <v>6022</v>
      </c>
      <c r="E35" s="151">
        <f>Sek_1!W29</f>
        <v>2850</v>
      </c>
      <c r="F35" s="125"/>
      <c r="G35" s="117">
        <v>1292</v>
      </c>
      <c r="H35" s="123">
        <v>634</v>
      </c>
      <c r="I35" s="117">
        <v>1241</v>
      </c>
      <c r="J35" s="118">
        <v>606</v>
      </c>
      <c r="K35" s="124">
        <v>1335</v>
      </c>
      <c r="L35" s="118">
        <v>674</v>
      </c>
      <c r="M35" s="157"/>
      <c r="N35" s="157"/>
      <c r="O35" s="114">
        <f>G35+I35+K35+M35</f>
        <v>3868</v>
      </c>
      <c r="P35" s="118">
        <f>H35+J35+L35+N35</f>
        <v>1914</v>
      </c>
      <c r="Q35" s="114">
        <v>98</v>
      </c>
      <c r="R35" s="125">
        <v>45</v>
      </c>
      <c r="S35" s="158">
        <f>D35+O35</f>
        <v>9890</v>
      </c>
      <c r="T35" s="116">
        <f>E35+P35</f>
        <v>4764</v>
      </c>
      <c r="U35" s="114">
        <f>Q35+Sek_1!X29</f>
        <v>281</v>
      </c>
      <c r="V35" s="126">
        <f>R35+Sek_1!Y29</f>
        <v>135</v>
      </c>
    </row>
    <row r="36" spans="1:22" ht="31.8" thickBot="1" x14ac:dyDescent="0.35">
      <c r="A36" s="127"/>
      <c r="B36" s="112" t="s">
        <v>32</v>
      </c>
      <c r="C36" s="128" t="s">
        <v>27</v>
      </c>
      <c r="D36" s="132">
        <f>Sek_1!V30</f>
        <v>7690</v>
      </c>
      <c r="E36" s="132">
        <f>Sek_1!W30</f>
        <v>3967</v>
      </c>
      <c r="F36" s="134"/>
      <c r="G36" s="131">
        <f t="shared" ref="G36:V36" si="15">SUM(G34:G35)</f>
        <v>1631</v>
      </c>
      <c r="H36" s="129">
        <f t="shared" si="15"/>
        <v>878</v>
      </c>
      <c r="I36" s="120">
        <f t="shared" si="15"/>
        <v>1585</v>
      </c>
      <c r="J36" s="132">
        <f t="shared" si="15"/>
        <v>848</v>
      </c>
      <c r="K36" s="133">
        <f t="shared" si="15"/>
        <v>1640</v>
      </c>
      <c r="L36" s="132">
        <f t="shared" si="15"/>
        <v>876</v>
      </c>
      <c r="M36" s="157"/>
      <c r="N36" s="157"/>
      <c r="O36" s="132">
        <f t="shared" si="15"/>
        <v>4856</v>
      </c>
      <c r="P36" s="133">
        <f t="shared" si="15"/>
        <v>2602</v>
      </c>
      <c r="Q36" s="132">
        <f t="shared" si="15"/>
        <v>110</v>
      </c>
      <c r="R36" s="134">
        <f t="shared" si="15"/>
        <v>56</v>
      </c>
      <c r="S36" s="119">
        <f t="shared" si="15"/>
        <v>12546</v>
      </c>
      <c r="T36" s="133">
        <f t="shared" si="15"/>
        <v>6569</v>
      </c>
      <c r="U36" s="132">
        <f t="shared" si="15"/>
        <v>303</v>
      </c>
      <c r="V36" s="135">
        <f t="shared" si="15"/>
        <v>155</v>
      </c>
    </row>
    <row r="37" spans="1:22" ht="17.399999999999999" x14ac:dyDescent="0.25">
      <c r="A37" s="136" t="s">
        <v>31</v>
      </c>
      <c r="D37" s="85"/>
      <c r="E37" s="85"/>
      <c r="F37" s="302"/>
    </row>
    <row r="38" spans="1:22" ht="15.6" x14ac:dyDescent="0.3">
      <c r="A38" s="96">
        <v>12</v>
      </c>
      <c r="B38" s="106" t="s">
        <v>33</v>
      </c>
      <c r="C38" s="106" t="s">
        <v>11</v>
      </c>
      <c r="D38" s="104">
        <f>Sek_1!V31</f>
        <v>478</v>
      </c>
      <c r="E38" s="105">
        <f>Sek_1!W31</f>
        <v>240</v>
      </c>
      <c r="F38" s="308"/>
      <c r="G38" s="100">
        <v>91</v>
      </c>
      <c r="H38" s="101">
        <v>48</v>
      </c>
      <c r="I38" s="100">
        <v>87</v>
      </c>
      <c r="J38" s="2">
        <v>46</v>
      </c>
      <c r="K38" s="3">
        <v>106</v>
      </c>
      <c r="L38" s="2">
        <v>63</v>
      </c>
      <c r="M38" s="328"/>
      <c r="N38" s="330"/>
      <c r="O38" s="159">
        <f t="shared" ref="O38:O40" si="16">G38+I38+K38+M38</f>
        <v>284</v>
      </c>
      <c r="P38" s="160">
        <f t="shared" ref="P38:P40" si="17">H38+J38+L38+N38</f>
        <v>157</v>
      </c>
      <c r="Q38" s="3">
        <v>0</v>
      </c>
      <c r="R38" s="99">
        <v>0</v>
      </c>
      <c r="S38" s="161">
        <f>D38+O38</f>
        <v>762</v>
      </c>
      <c r="T38" s="162">
        <f>E38+P38</f>
        <v>397</v>
      </c>
      <c r="U38" s="104">
        <f>Sek_1!X31+Q38</f>
        <v>3</v>
      </c>
      <c r="V38" s="105">
        <f>Sek_1!Y31+R38</f>
        <v>1</v>
      </c>
    </row>
    <row r="39" spans="1:22" ht="30.6" x14ac:dyDescent="0.3">
      <c r="A39" s="96">
        <v>13</v>
      </c>
      <c r="B39" s="97" t="s">
        <v>33</v>
      </c>
      <c r="C39" s="98" t="s">
        <v>12</v>
      </c>
      <c r="D39" s="104">
        <f>Sek_1!V32</f>
        <v>648</v>
      </c>
      <c r="E39" s="105">
        <f>Sek_1!W32</f>
        <v>360</v>
      </c>
      <c r="F39" s="308"/>
      <c r="G39" s="100">
        <v>129</v>
      </c>
      <c r="H39" s="101">
        <v>65</v>
      </c>
      <c r="I39" s="100">
        <v>132</v>
      </c>
      <c r="J39" s="2">
        <v>79</v>
      </c>
      <c r="K39" s="3">
        <v>120</v>
      </c>
      <c r="L39" s="2">
        <v>69</v>
      </c>
      <c r="M39" s="331"/>
      <c r="N39" s="333"/>
      <c r="O39" s="3">
        <f t="shared" si="16"/>
        <v>381</v>
      </c>
      <c r="P39" s="2">
        <f t="shared" si="17"/>
        <v>213</v>
      </c>
      <c r="Q39" s="3">
        <v>3</v>
      </c>
      <c r="R39" s="99">
        <v>3</v>
      </c>
      <c r="S39" s="163">
        <f>D39+O39</f>
        <v>1029</v>
      </c>
      <c r="T39" s="103">
        <f>E39+P39</f>
        <v>573</v>
      </c>
      <c r="U39" s="104">
        <f>Sek_1!X32+Q39</f>
        <v>5</v>
      </c>
      <c r="V39" s="105">
        <f>Sek_1!Y32+R39</f>
        <v>5</v>
      </c>
    </row>
    <row r="40" spans="1:22" ht="16.2" thickBot="1" x14ac:dyDescent="0.35">
      <c r="A40" s="96">
        <v>14</v>
      </c>
      <c r="B40" s="97" t="s">
        <v>33</v>
      </c>
      <c r="C40" s="106" t="s">
        <v>13</v>
      </c>
      <c r="D40" s="152">
        <f>Sek_1!V33</f>
        <v>566</v>
      </c>
      <c r="E40" s="153">
        <f>Sek_1!W33</f>
        <v>566</v>
      </c>
      <c r="F40" s="309"/>
      <c r="G40" s="100">
        <v>99</v>
      </c>
      <c r="H40" s="101">
        <v>99</v>
      </c>
      <c r="I40" s="100">
        <v>117</v>
      </c>
      <c r="J40" s="2">
        <v>117</v>
      </c>
      <c r="K40" s="3">
        <v>104</v>
      </c>
      <c r="L40" s="2">
        <v>104</v>
      </c>
      <c r="M40" s="331"/>
      <c r="N40" s="333"/>
      <c r="O40" s="89">
        <f t="shared" si="16"/>
        <v>320</v>
      </c>
      <c r="P40" s="88">
        <f t="shared" si="17"/>
        <v>320</v>
      </c>
      <c r="Q40" s="3">
        <v>7</v>
      </c>
      <c r="R40" s="99">
        <v>7</v>
      </c>
      <c r="S40" s="107">
        <f>D40+O40</f>
        <v>886</v>
      </c>
      <c r="T40" s="108">
        <f>E40+P40</f>
        <v>886</v>
      </c>
      <c r="U40" s="152">
        <f>Sek_1!X33+Q40</f>
        <v>12</v>
      </c>
      <c r="V40" s="153">
        <f>Sek_1!Y33+R40</f>
        <v>12</v>
      </c>
    </row>
    <row r="41" spans="1:22" ht="31.8" thickBot="1" x14ac:dyDescent="0.35">
      <c r="A41" s="111"/>
      <c r="B41" s="112" t="s">
        <v>33</v>
      </c>
      <c r="C41" s="113" t="s">
        <v>19</v>
      </c>
      <c r="D41" s="149">
        <f>Sek_1!V34</f>
        <v>1692</v>
      </c>
      <c r="E41" s="150">
        <f>Sek_1!W34</f>
        <v>1166</v>
      </c>
      <c r="F41" s="125"/>
      <c r="G41" s="117">
        <f t="shared" ref="G41:L41" si="18">SUM(G38:G40)</f>
        <v>319</v>
      </c>
      <c r="H41" s="118">
        <f t="shared" si="18"/>
        <v>212</v>
      </c>
      <c r="I41" s="117">
        <f t="shared" si="18"/>
        <v>336</v>
      </c>
      <c r="J41" s="118">
        <f t="shared" si="18"/>
        <v>242</v>
      </c>
      <c r="K41" s="114">
        <f t="shared" si="18"/>
        <v>330</v>
      </c>
      <c r="L41" s="118">
        <f t="shared" si="18"/>
        <v>236</v>
      </c>
      <c r="M41" s="331"/>
      <c r="N41" s="333"/>
      <c r="O41" s="114">
        <f t="shared" ref="O41:R41" si="19">SUM(O38:O40)</f>
        <v>985</v>
      </c>
      <c r="P41" s="118">
        <f t="shared" si="19"/>
        <v>690</v>
      </c>
      <c r="Q41" s="114">
        <f t="shared" si="19"/>
        <v>10</v>
      </c>
      <c r="R41" s="115">
        <f t="shared" si="19"/>
        <v>10</v>
      </c>
      <c r="S41" s="119">
        <f t="shared" ref="S41:V41" si="20">S38+S39+S40</f>
        <v>2677</v>
      </c>
      <c r="T41" s="121">
        <f t="shared" si="20"/>
        <v>1856</v>
      </c>
      <c r="U41" s="120">
        <f t="shared" si="20"/>
        <v>20</v>
      </c>
      <c r="V41" s="122">
        <f t="shared" si="20"/>
        <v>18</v>
      </c>
    </row>
    <row r="42" spans="1:22" ht="31.8" thickBot="1" x14ac:dyDescent="0.35">
      <c r="A42" s="111"/>
      <c r="B42" s="112" t="s">
        <v>33</v>
      </c>
      <c r="C42" s="113" t="s">
        <v>21</v>
      </c>
      <c r="D42" s="149">
        <f>Sek_1!V35</f>
        <v>5866</v>
      </c>
      <c r="E42" s="150">
        <f>Sek_1!W35</f>
        <v>2774</v>
      </c>
      <c r="F42" s="125"/>
      <c r="G42" s="117">
        <v>1325</v>
      </c>
      <c r="H42" s="123">
        <v>651</v>
      </c>
      <c r="I42" s="117">
        <v>1217</v>
      </c>
      <c r="J42" s="118">
        <v>592</v>
      </c>
      <c r="K42" s="124">
        <v>1179</v>
      </c>
      <c r="L42" s="118">
        <v>579</v>
      </c>
      <c r="M42" s="331"/>
      <c r="N42" s="333"/>
      <c r="O42" s="114">
        <f>G42+I42+K42+M42</f>
        <v>3721</v>
      </c>
      <c r="P42" s="118">
        <f>H42+J42+L42+N42</f>
        <v>1822</v>
      </c>
      <c r="Q42" s="114">
        <v>99</v>
      </c>
      <c r="R42" s="125">
        <v>44</v>
      </c>
      <c r="S42" s="158">
        <f>D42+O42</f>
        <v>9587</v>
      </c>
      <c r="T42" s="116">
        <f>E42+P42</f>
        <v>4596</v>
      </c>
      <c r="U42" s="114">
        <f>Q42+Sek_1!X35</f>
        <v>292</v>
      </c>
      <c r="V42" s="126">
        <f>R42+Sek_1!Y35</f>
        <v>134</v>
      </c>
    </row>
    <row r="43" spans="1:22" ht="46.8" x14ac:dyDescent="0.3">
      <c r="A43" s="111"/>
      <c r="B43" s="164" t="s">
        <v>33</v>
      </c>
      <c r="C43" s="113" t="s">
        <v>34</v>
      </c>
      <c r="D43" s="165">
        <f>Sek_1!V36</f>
        <v>7558</v>
      </c>
      <c r="E43" s="166">
        <f>Sek_1!W36</f>
        <v>3940</v>
      </c>
      <c r="F43" s="169"/>
      <c r="G43" s="167">
        <f t="shared" ref="G43:L43" si="21">SUM(G41:G42)</f>
        <v>1644</v>
      </c>
      <c r="H43" s="168">
        <f t="shared" si="21"/>
        <v>863</v>
      </c>
      <c r="I43" s="117">
        <f t="shared" si="21"/>
        <v>1553</v>
      </c>
      <c r="J43" s="114">
        <f t="shared" si="21"/>
        <v>834</v>
      </c>
      <c r="K43" s="124">
        <f t="shared" si="21"/>
        <v>1509</v>
      </c>
      <c r="L43" s="114">
        <f t="shared" si="21"/>
        <v>815</v>
      </c>
      <c r="M43" s="331"/>
      <c r="N43" s="333"/>
      <c r="O43" s="114">
        <f t="shared" ref="O43:V43" si="22">SUM(O41:O42)</f>
        <v>4706</v>
      </c>
      <c r="P43" s="124">
        <f t="shared" si="22"/>
        <v>2512</v>
      </c>
      <c r="Q43" s="114">
        <f t="shared" si="22"/>
        <v>109</v>
      </c>
      <c r="R43" s="169">
        <f t="shared" si="22"/>
        <v>54</v>
      </c>
      <c r="S43" s="158">
        <f t="shared" si="22"/>
        <v>12264</v>
      </c>
      <c r="T43" s="124">
        <f t="shared" si="22"/>
        <v>6452</v>
      </c>
      <c r="U43" s="114">
        <f t="shared" si="22"/>
        <v>312</v>
      </c>
      <c r="V43" s="166">
        <f t="shared" si="22"/>
        <v>152</v>
      </c>
    </row>
    <row r="44" spans="1:22" ht="15.6" x14ac:dyDescent="0.3">
      <c r="A44" s="96">
        <v>12</v>
      </c>
      <c r="B44" s="106" t="s">
        <v>42</v>
      </c>
      <c r="C44" s="106" t="s">
        <v>11</v>
      </c>
      <c r="D44" s="104">
        <f>Sek_1!V38</f>
        <v>489</v>
      </c>
      <c r="E44" s="105">
        <f>Sek_1!W38</f>
        <v>234</v>
      </c>
      <c r="F44" s="308"/>
      <c r="G44" s="100">
        <v>96</v>
      </c>
      <c r="H44" s="101">
        <v>44</v>
      </c>
      <c r="I44" s="100">
        <v>83</v>
      </c>
      <c r="J44" s="2">
        <v>45</v>
      </c>
      <c r="K44" s="3">
        <v>90</v>
      </c>
      <c r="L44" s="2">
        <v>46</v>
      </c>
      <c r="M44" s="328"/>
      <c r="N44" s="330"/>
      <c r="O44" s="159">
        <f t="shared" ref="O44:O46" si="23">G44+I44+K44+M44</f>
        <v>269</v>
      </c>
      <c r="P44" s="160">
        <f t="shared" ref="P44:P46" si="24">H44+J44+L44+N44</f>
        <v>135</v>
      </c>
      <c r="Q44" s="3">
        <v>0</v>
      </c>
      <c r="R44" s="99">
        <v>0</v>
      </c>
      <c r="S44" s="161">
        <f>D44+O44</f>
        <v>758</v>
      </c>
      <c r="T44" s="162">
        <f>E44+P44</f>
        <v>369</v>
      </c>
      <c r="U44" s="104">
        <f>Sek_1!X38+Q44</f>
        <v>4</v>
      </c>
      <c r="V44" s="105">
        <f>Sek_1!Y38+R44</f>
        <v>1</v>
      </c>
    </row>
    <row r="45" spans="1:22" ht="30.6" x14ac:dyDescent="0.3">
      <c r="A45" s="96">
        <v>13</v>
      </c>
      <c r="B45" s="97" t="s">
        <v>42</v>
      </c>
      <c r="C45" s="98" t="s">
        <v>12</v>
      </c>
      <c r="D45" s="104">
        <f>Sek_1!V39</f>
        <v>628</v>
      </c>
      <c r="E45" s="105">
        <f>Sek_1!W39</f>
        <v>341</v>
      </c>
      <c r="F45" s="308"/>
      <c r="G45" s="100">
        <v>148</v>
      </c>
      <c r="H45" s="101">
        <v>81</v>
      </c>
      <c r="I45" s="100">
        <v>124</v>
      </c>
      <c r="J45" s="2">
        <v>62</v>
      </c>
      <c r="K45" s="3">
        <v>129</v>
      </c>
      <c r="L45" s="2">
        <v>75</v>
      </c>
      <c r="M45" s="331"/>
      <c r="N45" s="333"/>
      <c r="O45" s="3">
        <f t="shared" si="23"/>
        <v>401</v>
      </c>
      <c r="P45" s="2">
        <f t="shared" si="24"/>
        <v>218</v>
      </c>
      <c r="Q45" s="3">
        <v>4</v>
      </c>
      <c r="R45" s="99">
        <v>3</v>
      </c>
      <c r="S45" s="163">
        <f>D45+O45</f>
        <v>1029</v>
      </c>
      <c r="T45" s="103">
        <f>E45+P45</f>
        <v>559</v>
      </c>
      <c r="U45" s="104">
        <f>Sek_1!X39+Q45</f>
        <v>6</v>
      </c>
      <c r="V45" s="105">
        <f>Sek_1!Y39+R45</f>
        <v>4</v>
      </c>
    </row>
    <row r="46" spans="1:22" ht="16.2" thickBot="1" x14ac:dyDescent="0.35">
      <c r="A46" s="96">
        <v>14</v>
      </c>
      <c r="B46" s="97" t="s">
        <v>42</v>
      </c>
      <c r="C46" s="106" t="s">
        <v>13</v>
      </c>
      <c r="D46" s="152">
        <f>Sek_1!V40</f>
        <v>573</v>
      </c>
      <c r="E46" s="153">
        <f>Sek_1!W40</f>
        <v>573</v>
      </c>
      <c r="F46" s="309"/>
      <c r="G46" s="100">
        <v>124</v>
      </c>
      <c r="H46" s="101">
        <v>124</v>
      </c>
      <c r="I46" s="100">
        <v>98</v>
      </c>
      <c r="J46" s="2">
        <v>98</v>
      </c>
      <c r="K46" s="3">
        <v>108</v>
      </c>
      <c r="L46" s="2">
        <v>108</v>
      </c>
      <c r="M46" s="331"/>
      <c r="N46" s="333"/>
      <c r="O46" s="89">
        <f t="shared" si="23"/>
        <v>330</v>
      </c>
      <c r="P46" s="88">
        <f t="shared" si="24"/>
        <v>330</v>
      </c>
      <c r="Q46" s="3">
        <v>5</v>
      </c>
      <c r="R46" s="99">
        <v>5</v>
      </c>
      <c r="S46" s="107">
        <f>D46+O46</f>
        <v>903</v>
      </c>
      <c r="T46" s="108">
        <f>E46+P46</f>
        <v>903</v>
      </c>
      <c r="U46" s="152">
        <f>Sek_1!X40+Q46</f>
        <v>15</v>
      </c>
      <c r="V46" s="153">
        <f>Sek_1!Y40+R46</f>
        <v>15</v>
      </c>
    </row>
    <row r="47" spans="1:22" ht="31.8" thickBot="1" x14ac:dyDescent="0.35">
      <c r="A47" s="111"/>
      <c r="B47" s="112" t="s">
        <v>42</v>
      </c>
      <c r="C47" s="113" t="s">
        <v>19</v>
      </c>
      <c r="D47" s="149">
        <f>Sek_1!V41</f>
        <v>1690</v>
      </c>
      <c r="E47" s="150">
        <f>Sek_1!W41</f>
        <v>1148</v>
      </c>
      <c r="F47" s="125"/>
      <c r="G47" s="117">
        <f t="shared" ref="G47:L47" si="25">SUM(G44:G46)</f>
        <v>368</v>
      </c>
      <c r="H47" s="118">
        <f t="shared" si="25"/>
        <v>249</v>
      </c>
      <c r="I47" s="117">
        <f t="shared" si="25"/>
        <v>305</v>
      </c>
      <c r="J47" s="118">
        <f t="shared" si="25"/>
        <v>205</v>
      </c>
      <c r="K47" s="114">
        <f t="shared" si="25"/>
        <v>327</v>
      </c>
      <c r="L47" s="118">
        <f t="shared" si="25"/>
        <v>229</v>
      </c>
      <c r="M47" s="331"/>
      <c r="N47" s="333"/>
      <c r="O47" s="114">
        <f t="shared" ref="O47:R47" si="26">SUM(O44:O46)</f>
        <v>1000</v>
      </c>
      <c r="P47" s="118">
        <f t="shared" si="26"/>
        <v>683</v>
      </c>
      <c r="Q47" s="114">
        <f t="shared" si="26"/>
        <v>9</v>
      </c>
      <c r="R47" s="115">
        <f t="shared" si="26"/>
        <v>8</v>
      </c>
      <c r="S47" s="119">
        <f t="shared" ref="S47:T47" si="27">S44+S45+S46</f>
        <v>2690</v>
      </c>
      <c r="T47" s="121">
        <f t="shared" si="27"/>
        <v>1831</v>
      </c>
      <c r="U47" s="120">
        <f>Sek_1!X41+Q47</f>
        <v>25</v>
      </c>
      <c r="V47" s="122">
        <f>Sek_1!Y41+R47</f>
        <v>20</v>
      </c>
    </row>
    <row r="48" spans="1:22" ht="31.8" thickBot="1" x14ac:dyDescent="0.35">
      <c r="A48" s="111"/>
      <c r="B48" s="112" t="s">
        <v>42</v>
      </c>
      <c r="C48" s="113" t="s">
        <v>21</v>
      </c>
      <c r="D48" s="149">
        <f>Sek_1!V42</f>
        <v>5750</v>
      </c>
      <c r="E48" s="150">
        <f>Sek_1!W42</f>
        <v>2724</v>
      </c>
      <c r="F48" s="125"/>
      <c r="G48" s="117">
        <v>1290</v>
      </c>
      <c r="H48" s="123">
        <v>600</v>
      </c>
      <c r="I48" s="117">
        <v>1255</v>
      </c>
      <c r="J48" s="118">
        <v>626</v>
      </c>
      <c r="K48" s="124">
        <v>1156</v>
      </c>
      <c r="L48" s="118">
        <v>574</v>
      </c>
      <c r="M48" s="331"/>
      <c r="N48" s="333"/>
      <c r="O48" s="114">
        <v>3701</v>
      </c>
      <c r="P48" s="118">
        <f>H48+J48+L48+N48</f>
        <v>1800</v>
      </c>
      <c r="Q48" s="114">
        <v>119</v>
      </c>
      <c r="R48" s="125">
        <v>50</v>
      </c>
      <c r="S48" s="158">
        <f>D48+O48</f>
        <v>9451</v>
      </c>
      <c r="T48" s="116">
        <f>E48+P48</f>
        <v>4524</v>
      </c>
      <c r="U48" s="114">
        <f>Sek_1!X42+Q48</f>
        <v>355</v>
      </c>
      <c r="V48" s="126">
        <f>Sek_1!Y42+R48</f>
        <v>160</v>
      </c>
    </row>
    <row r="49" spans="1:22" ht="46.8" x14ac:dyDescent="0.3">
      <c r="A49" s="111"/>
      <c r="B49" s="164" t="s">
        <v>42</v>
      </c>
      <c r="C49" s="113" t="s">
        <v>34</v>
      </c>
      <c r="D49" s="165">
        <f>Sek_1!V42</f>
        <v>5750</v>
      </c>
      <c r="E49" s="166">
        <f>Sek_1!W42</f>
        <v>2724</v>
      </c>
      <c r="F49" s="169"/>
      <c r="G49" s="167">
        <f t="shared" ref="G49:L49" si="28">SUM(G47:G48)</f>
        <v>1658</v>
      </c>
      <c r="H49" s="168">
        <f t="shared" si="28"/>
        <v>849</v>
      </c>
      <c r="I49" s="117">
        <f t="shared" si="28"/>
        <v>1560</v>
      </c>
      <c r="J49" s="114">
        <f t="shared" si="28"/>
        <v>831</v>
      </c>
      <c r="K49" s="124">
        <f t="shared" si="28"/>
        <v>1483</v>
      </c>
      <c r="L49" s="114">
        <f t="shared" si="28"/>
        <v>803</v>
      </c>
      <c r="M49" s="331"/>
      <c r="N49" s="333"/>
      <c r="O49" s="114">
        <f t="shared" ref="O49:U49" si="29">SUM(O47:O48)</f>
        <v>4701</v>
      </c>
      <c r="P49" s="124">
        <f t="shared" si="29"/>
        <v>2483</v>
      </c>
      <c r="Q49" s="114">
        <f t="shared" si="29"/>
        <v>128</v>
      </c>
      <c r="R49" s="169">
        <f t="shared" si="29"/>
        <v>58</v>
      </c>
      <c r="S49" s="158">
        <f t="shared" si="29"/>
        <v>12141</v>
      </c>
      <c r="T49" s="124">
        <f t="shared" si="29"/>
        <v>6355</v>
      </c>
      <c r="U49" s="114">
        <f t="shared" si="29"/>
        <v>380</v>
      </c>
      <c r="V49" s="166">
        <f>Sek_1!Y43+R49</f>
        <v>180</v>
      </c>
    </row>
    <row r="50" spans="1:22" s="183" customFormat="1" ht="15.6" x14ac:dyDescent="0.25">
      <c r="A50" s="66">
        <v>12</v>
      </c>
      <c r="B50" s="170" t="s">
        <v>55</v>
      </c>
      <c r="C50" s="170" t="s">
        <v>11</v>
      </c>
      <c r="D50" s="171">
        <f>Sek_1!V44</f>
        <v>516</v>
      </c>
      <c r="E50" s="172">
        <f>Sek_1!W44</f>
        <v>248</v>
      </c>
      <c r="F50" s="310"/>
      <c r="G50" s="173">
        <v>94</v>
      </c>
      <c r="H50" s="174">
        <v>44</v>
      </c>
      <c r="I50" s="173">
        <v>90</v>
      </c>
      <c r="J50" s="67">
        <v>43</v>
      </c>
      <c r="K50" s="63">
        <v>78</v>
      </c>
      <c r="L50" s="67">
        <v>43</v>
      </c>
      <c r="M50" s="175"/>
      <c r="N50" s="176"/>
      <c r="O50" s="177">
        <f t="shared" ref="O50:O52" si="30">G50+I50+K50+M50</f>
        <v>262</v>
      </c>
      <c r="P50" s="178">
        <f t="shared" ref="P50:P52" si="31">H50+J50+L50+N50</f>
        <v>130</v>
      </c>
      <c r="Q50" s="63">
        <v>0</v>
      </c>
      <c r="R50" s="179">
        <v>0</v>
      </c>
      <c r="S50" s="180">
        <f>D50+O50</f>
        <v>778</v>
      </c>
      <c r="T50" s="181">
        <f>E50+P50</f>
        <v>378</v>
      </c>
      <c r="U50" s="171">
        <f>Sek_1!X44+Q50</f>
        <v>12</v>
      </c>
      <c r="V50" s="172">
        <f>Sek_1!Y44+R50</f>
        <v>5</v>
      </c>
    </row>
    <row r="51" spans="1:22" s="183" customFormat="1" ht="30" x14ac:dyDescent="0.25">
      <c r="A51" s="66">
        <v>13</v>
      </c>
      <c r="B51" s="184" t="s">
        <v>55</v>
      </c>
      <c r="C51" s="185" t="s">
        <v>12</v>
      </c>
      <c r="D51" s="171">
        <f>Sek_1!V45</f>
        <v>633</v>
      </c>
      <c r="E51" s="172">
        <f>Sek_1!W45</f>
        <v>337</v>
      </c>
      <c r="F51" s="310"/>
      <c r="G51" s="173">
        <v>127</v>
      </c>
      <c r="H51" s="174">
        <v>72</v>
      </c>
      <c r="I51" s="173">
        <v>154</v>
      </c>
      <c r="J51" s="67">
        <v>84</v>
      </c>
      <c r="K51" s="63">
        <v>119</v>
      </c>
      <c r="L51" s="67">
        <v>61</v>
      </c>
      <c r="M51" s="186"/>
      <c r="N51" s="187"/>
      <c r="O51" s="63">
        <f t="shared" si="30"/>
        <v>400</v>
      </c>
      <c r="P51" s="67">
        <f t="shared" si="31"/>
        <v>217</v>
      </c>
      <c r="Q51" s="63">
        <v>4</v>
      </c>
      <c r="R51" s="179">
        <v>4</v>
      </c>
      <c r="S51" s="188">
        <f>D51+O51</f>
        <v>1033</v>
      </c>
      <c r="T51" s="182">
        <f>E51+P51</f>
        <v>554</v>
      </c>
      <c r="U51" s="171">
        <f>Sek_1!X45+Q51</f>
        <v>7</v>
      </c>
      <c r="V51" s="172">
        <f>Sek_1!Y45+R51</f>
        <v>6</v>
      </c>
    </row>
    <row r="52" spans="1:22" s="183" customFormat="1" ht="16.2" thickBot="1" x14ac:dyDescent="0.3">
      <c r="A52" s="66">
        <v>14</v>
      </c>
      <c r="B52" s="184" t="s">
        <v>55</v>
      </c>
      <c r="C52" s="170" t="s">
        <v>13</v>
      </c>
      <c r="D52" s="189">
        <f>Sek_1!V46</f>
        <v>567</v>
      </c>
      <c r="E52" s="190">
        <f>Sek_1!W46</f>
        <v>567</v>
      </c>
      <c r="F52" s="311"/>
      <c r="G52" s="173">
        <v>110</v>
      </c>
      <c r="H52" s="174">
        <v>110</v>
      </c>
      <c r="I52" s="173">
        <v>121</v>
      </c>
      <c r="J52" s="67">
        <v>121</v>
      </c>
      <c r="K52" s="63">
        <v>89</v>
      </c>
      <c r="L52" s="67">
        <v>89</v>
      </c>
      <c r="M52" s="186"/>
      <c r="N52" s="187"/>
      <c r="O52" s="191">
        <f t="shared" si="30"/>
        <v>320</v>
      </c>
      <c r="P52" s="192">
        <f t="shared" si="31"/>
        <v>320</v>
      </c>
      <c r="Q52" s="63">
        <v>7</v>
      </c>
      <c r="R52" s="179">
        <v>7</v>
      </c>
      <c r="S52" s="193">
        <f>D52+O52</f>
        <v>887</v>
      </c>
      <c r="T52" s="194">
        <f>E52+P52</f>
        <v>887</v>
      </c>
      <c r="U52" s="189">
        <f>Sek_1!X46+Q52</f>
        <v>15</v>
      </c>
      <c r="V52" s="190">
        <f>Sek_1!Y46+R52</f>
        <v>15</v>
      </c>
    </row>
    <row r="53" spans="1:22" s="183" customFormat="1" ht="31.8" thickBot="1" x14ac:dyDescent="0.3">
      <c r="A53" s="195"/>
      <c r="B53" s="196" t="s">
        <v>55</v>
      </c>
      <c r="C53" s="197" t="s">
        <v>19</v>
      </c>
      <c r="D53" s="198">
        <f>Sek_1!V47</f>
        <v>1716</v>
      </c>
      <c r="E53" s="199">
        <f>Sek_1!W47</f>
        <v>1152</v>
      </c>
      <c r="F53" s="211"/>
      <c r="G53" s="201">
        <f t="shared" ref="G53:L53" si="32">SUM(G50:G52)</f>
        <v>331</v>
      </c>
      <c r="H53" s="202">
        <f t="shared" si="32"/>
        <v>226</v>
      </c>
      <c r="I53" s="201">
        <f t="shared" si="32"/>
        <v>365</v>
      </c>
      <c r="J53" s="202">
        <f t="shared" si="32"/>
        <v>248</v>
      </c>
      <c r="K53" s="203">
        <f t="shared" si="32"/>
        <v>286</v>
      </c>
      <c r="L53" s="202">
        <f t="shared" si="32"/>
        <v>193</v>
      </c>
      <c r="M53" s="186"/>
      <c r="N53" s="187"/>
      <c r="O53" s="203">
        <f t="shared" ref="O53:R53" si="33">SUM(O50:O52)</f>
        <v>982</v>
      </c>
      <c r="P53" s="202">
        <f t="shared" si="33"/>
        <v>667</v>
      </c>
      <c r="Q53" s="203">
        <f t="shared" si="33"/>
        <v>11</v>
      </c>
      <c r="R53" s="204">
        <f t="shared" si="33"/>
        <v>11</v>
      </c>
      <c r="S53" s="205">
        <f t="shared" ref="S53:T53" si="34">S50+S51+S52</f>
        <v>2698</v>
      </c>
      <c r="T53" s="206">
        <f t="shared" si="34"/>
        <v>1819</v>
      </c>
      <c r="U53" s="207">
        <f>Sek_1!X47+Q53</f>
        <v>34</v>
      </c>
      <c r="V53" s="208">
        <f>Sek_1!Y47+R53</f>
        <v>26</v>
      </c>
    </row>
    <row r="54" spans="1:22" s="183" customFormat="1" ht="31.8" thickBot="1" x14ac:dyDescent="0.3">
      <c r="A54" s="195"/>
      <c r="B54" s="196" t="s">
        <v>55</v>
      </c>
      <c r="C54" s="197" t="s">
        <v>21</v>
      </c>
      <c r="D54" s="198">
        <f>Sek_1!V48</f>
        <v>5780</v>
      </c>
      <c r="E54" s="199">
        <f>Sek_1!W48</f>
        <v>2743</v>
      </c>
      <c r="F54" s="211"/>
      <c r="G54" s="201">
        <v>1234</v>
      </c>
      <c r="H54" s="209">
        <v>599</v>
      </c>
      <c r="I54" s="201">
        <v>1215</v>
      </c>
      <c r="J54" s="202">
        <v>564</v>
      </c>
      <c r="K54" s="210">
        <v>1213</v>
      </c>
      <c r="L54" s="202">
        <v>613</v>
      </c>
      <c r="M54" s="186"/>
      <c r="N54" s="187"/>
      <c r="O54" s="203">
        <v>3662</v>
      </c>
      <c r="P54" s="202">
        <v>1776</v>
      </c>
      <c r="Q54" s="203">
        <v>129</v>
      </c>
      <c r="R54" s="211">
        <v>58</v>
      </c>
      <c r="S54" s="212">
        <f>D54+O54</f>
        <v>9442</v>
      </c>
      <c r="T54" s="200">
        <f>E54+P54</f>
        <v>4519</v>
      </c>
      <c r="U54" s="203">
        <f>Sek_1!X48+Q54</f>
        <v>457</v>
      </c>
      <c r="V54" s="213">
        <f>Sek_1!Y48+R54</f>
        <v>208</v>
      </c>
    </row>
    <row r="55" spans="1:22" s="183" customFormat="1" ht="46.8" x14ac:dyDescent="0.25">
      <c r="A55" s="195"/>
      <c r="B55" s="214" t="s">
        <v>55</v>
      </c>
      <c r="C55" s="197" t="s">
        <v>34</v>
      </c>
      <c r="D55" s="215">
        <f>SUM(D53:D54)</f>
        <v>7496</v>
      </c>
      <c r="E55" s="216">
        <f>SUM(E53:E54)</f>
        <v>3895</v>
      </c>
      <c r="F55" s="221"/>
      <c r="G55" s="217">
        <f t="shared" ref="G55:L55" si="35">SUM(G53:G54)</f>
        <v>1565</v>
      </c>
      <c r="H55" s="218">
        <f t="shared" si="35"/>
        <v>825</v>
      </c>
      <c r="I55" s="201">
        <f t="shared" si="35"/>
        <v>1580</v>
      </c>
      <c r="J55" s="203">
        <f t="shared" si="35"/>
        <v>812</v>
      </c>
      <c r="K55" s="210">
        <f t="shared" si="35"/>
        <v>1499</v>
      </c>
      <c r="L55" s="203">
        <f t="shared" si="35"/>
        <v>806</v>
      </c>
      <c r="M55" s="219"/>
      <c r="N55" s="220"/>
      <c r="O55" s="203">
        <f>SUM(O53:O54)</f>
        <v>4644</v>
      </c>
      <c r="P55" s="210">
        <f t="shared" ref="P55:V55" si="36">SUM(P53:P54)</f>
        <v>2443</v>
      </c>
      <c r="Q55" s="203">
        <f t="shared" si="36"/>
        <v>140</v>
      </c>
      <c r="R55" s="221">
        <f t="shared" si="36"/>
        <v>69</v>
      </c>
      <c r="S55" s="212">
        <f t="shared" si="36"/>
        <v>12140</v>
      </c>
      <c r="T55" s="210">
        <f t="shared" si="36"/>
        <v>6338</v>
      </c>
      <c r="U55" s="203">
        <f t="shared" si="36"/>
        <v>491</v>
      </c>
      <c r="V55" s="216">
        <f t="shared" si="36"/>
        <v>234</v>
      </c>
    </row>
    <row r="56" spans="1:22" s="183" customFormat="1" ht="15.6" x14ac:dyDescent="0.25">
      <c r="A56" s="67">
        <v>12</v>
      </c>
      <c r="B56" s="170" t="s">
        <v>56</v>
      </c>
      <c r="C56" s="170" t="s">
        <v>11</v>
      </c>
      <c r="D56" s="171">
        <f>Sek_1!V50</f>
        <v>509</v>
      </c>
      <c r="E56" s="182">
        <f>Sek_1!W50</f>
        <v>240</v>
      </c>
      <c r="F56" s="172">
        <f>Sek_1!Z50</f>
        <v>18</v>
      </c>
      <c r="G56" s="173">
        <v>91</v>
      </c>
      <c r="H56" s="67">
        <v>47</v>
      </c>
      <c r="I56" s="63">
        <v>88</v>
      </c>
      <c r="J56" s="67">
        <v>40</v>
      </c>
      <c r="K56" s="63">
        <v>85</v>
      </c>
      <c r="L56" s="67">
        <v>41</v>
      </c>
      <c r="M56" s="175"/>
      <c r="N56" s="176"/>
      <c r="O56" s="63">
        <f t="shared" ref="O56:P60" si="37">G56+I56+K56+M56</f>
        <v>264</v>
      </c>
      <c r="P56" s="67">
        <f t="shared" ref="P56:P58" si="38">H56+J56+L56+N56</f>
        <v>128</v>
      </c>
      <c r="Q56" s="63">
        <v>2</v>
      </c>
      <c r="R56" s="67">
        <v>1</v>
      </c>
      <c r="S56" s="63">
        <f>D56+O56</f>
        <v>773</v>
      </c>
      <c r="T56" s="182">
        <f>E56+P56</f>
        <v>368</v>
      </c>
      <c r="U56" s="171">
        <f>Sek_1!X50+Q56</f>
        <v>15</v>
      </c>
      <c r="V56" s="182">
        <f>Sek_1!Y50+R56</f>
        <v>6</v>
      </c>
    </row>
    <row r="57" spans="1:22" s="183" customFormat="1" ht="30" x14ac:dyDescent="0.25">
      <c r="A57" s="67">
        <v>13</v>
      </c>
      <c r="B57" s="170" t="s">
        <v>56</v>
      </c>
      <c r="C57" s="185" t="s">
        <v>12</v>
      </c>
      <c r="D57" s="171">
        <f>Sek_1!V51</f>
        <v>629</v>
      </c>
      <c r="E57" s="182">
        <f>Sek_1!W51</f>
        <v>342</v>
      </c>
      <c r="F57" s="172">
        <f>Sek_1!Z51</f>
        <v>21</v>
      </c>
      <c r="G57" s="173">
        <v>139</v>
      </c>
      <c r="H57" s="67">
        <v>71</v>
      </c>
      <c r="I57" s="63">
        <v>122</v>
      </c>
      <c r="J57" s="67">
        <v>70</v>
      </c>
      <c r="K57" s="63">
        <v>150</v>
      </c>
      <c r="L57" s="67">
        <v>81</v>
      </c>
      <c r="M57" s="186"/>
      <c r="N57" s="187"/>
      <c r="O57" s="63">
        <f t="shared" si="37"/>
        <v>411</v>
      </c>
      <c r="P57" s="67">
        <f t="shared" si="38"/>
        <v>222</v>
      </c>
      <c r="Q57" s="63">
        <v>4</v>
      </c>
      <c r="R57" s="67">
        <v>3</v>
      </c>
      <c r="S57" s="171">
        <f>D57+O57</f>
        <v>1040</v>
      </c>
      <c r="T57" s="182">
        <f>E57+P57</f>
        <v>564</v>
      </c>
      <c r="U57" s="171">
        <f>Sek_1!X51+Q57</f>
        <v>9</v>
      </c>
      <c r="V57" s="182">
        <f>Sek_1!Y51+R57</f>
        <v>6</v>
      </c>
    </row>
    <row r="58" spans="1:22" s="183" customFormat="1" ht="15.6" x14ac:dyDescent="0.25">
      <c r="A58" s="67">
        <v>14</v>
      </c>
      <c r="B58" s="170" t="s">
        <v>56</v>
      </c>
      <c r="C58" s="170" t="s">
        <v>13</v>
      </c>
      <c r="D58" s="171">
        <f>Sek_1!V52</f>
        <v>574</v>
      </c>
      <c r="E58" s="182">
        <f>Sek_1!W52</f>
        <v>574</v>
      </c>
      <c r="F58" s="172">
        <f>Sek_1!Z52</f>
        <v>21</v>
      </c>
      <c r="G58" s="173">
        <v>111</v>
      </c>
      <c r="H58" s="67">
        <v>111</v>
      </c>
      <c r="I58" s="63">
        <v>105</v>
      </c>
      <c r="J58" s="67">
        <v>105</v>
      </c>
      <c r="K58" s="63">
        <v>115</v>
      </c>
      <c r="L58" s="67">
        <v>115</v>
      </c>
      <c r="M58" s="186"/>
      <c r="N58" s="187"/>
      <c r="O58" s="63">
        <f t="shared" si="37"/>
        <v>331</v>
      </c>
      <c r="P58" s="67">
        <f t="shared" si="38"/>
        <v>331</v>
      </c>
      <c r="Q58" s="63">
        <f>1+2</f>
        <v>3</v>
      </c>
      <c r="R58" s="67">
        <v>3</v>
      </c>
      <c r="S58" s="63">
        <f>D58+O58</f>
        <v>905</v>
      </c>
      <c r="T58" s="182">
        <f>E58+P58</f>
        <v>905</v>
      </c>
      <c r="U58" s="171">
        <f>Sek_1!X52+Q58</f>
        <v>18</v>
      </c>
      <c r="V58" s="182">
        <f>Sek_1!Y52+R58</f>
        <v>18</v>
      </c>
    </row>
    <row r="59" spans="1:22" s="183" customFormat="1" ht="31.2" x14ac:dyDescent="0.25">
      <c r="A59" s="222"/>
      <c r="B59" s="170" t="s">
        <v>56</v>
      </c>
      <c r="C59" s="223" t="s">
        <v>19</v>
      </c>
      <c r="D59" s="171">
        <f>Sek_1!V53</f>
        <v>1712</v>
      </c>
      <c r="E59" s="182">
        <f>Sek_1!W53</f>
        <v>1156</v>
      </c>
      <c r="F59" s="172">
        <f>Sek_1!Z53</f>
        <v>60</v>
      </c>
      <c r="G59" s="292">
        <f t="shared" ref="G59:L59" si="39">SUM(G56:G58)</f>
        <v>341</v>
      </c>
      <c r="H59" s="182">
        <f t="shared" si="39"/>
        <v>229</v>
      </c>
      <c r="I59" s="171">
        <f t="shared" si="39"/>
        <v>315</v>
      </c>
      <c r="J59" s="182">
        <f t="shared" si="39"/>
        <v>215</v>
      </c>
      <c r="K59" s="171">
        <f t="shared" si="39"/>
        <v>350</v>
      </c>
      <c r="L59" s="182">
        <f t="shared" si="39"/>
        <v>237</v>
      </c>
      <c r="M59" s="186"/>
      <c r="N59" s="187"/>
      <c r="O59" s="171">
        <f t="shared" si="37"/>
        <v>1006</v>
      </c>
      <c r="P59" s="182">
        <f t="shared" ref="P59:R59" si="40">SUM(P56:P58)</f>
        <v>681</v>
      </c>
      <c r="Q59" s="171">
        <f t="shared" si="40"/>
        <v>9</v>
      </c>
      <c r="R59" s="182">
        <f t="shared" si="40"/>
        <v>7</v>
      </c>
      <c r="S59" s="171">
        <f>S56+S57+S58</f>
        <v>2718</v>
      </c>
      <c r="T59" s="182">
        <f t="shared" ref="T59:V59" si="41">T56+T57+T58</f>
        <v>1837</v>
      </c>
      <c r="U59" s="171">
        <f t="shared" si="41"/>
        <v>42</v>
      </c>
      <c r="V59" s="182">
        <f t="shared" si="41"/>
        <v>30</v>
      </c>
    </row>
    <row r="60" spans="1:22" s="183" customFormat="1" ht="31.2" x14ac:dyDescent="0.25">
      <c r="A60" s="222"/>
      <c r="B60" s="170" t="s">
        <v>56</v>
      </c>
      <c r="C60" s="223" t="s">
        <v>21</v>
      </c>
      <c r="D60" s="171" t="e">
        <f>Sek_1!V54</f>
        <v>#REF!</v>
      </c>
      <c r="E60" s="182" t="e">
        <f>Sek_1!W54</f>
        <v>#REF!</v>
      </c>
      <c r="F60" s="172" t="e">
        <f>Sek_1!Z54</f>
        <v>#REF!</v>
      </c>
      <c r="G60" s="292">
        <v>1242</v>
      </c>
      <c r="H60" s="182">
        <v>605</v>
      </c>
      <c r="I60" s="171">
        <v>1187</v>
      </c>
      <c r="J60" s="182">
        <v>573</v>
      </c>
      <c r="K60" s="171">
        <v>1152</v>
      </c>
      <c r="L60" s="182">
        <v>538</v>
      </c>
      <c r="M60" s="186"/>
      <c r="N60" s="187"/>
      <c r="O60" s="171">
        <f t="shared" si="37"/>
        <v>3581</v>
      </c>
      <c r="P60" s="182">
        <f t="shared" si="37"/>
        <v>1716</v>
      </c>
      <c r="Q60" s="171">
        <v>132</v>
      </c>
      <c r="R60" s="182">
        <v>65</v>
      </c>
      <c r="S60" s="171" t="e">
        <f>D60+O60</f>
        <v>#REF!</v>
      </c>
      <c r="T60" s="182" t="e">
        <f>E60+P60</f>
        <v>#REF!</v>
      </c>
      <c r="U60" s="171">
        <f>Sek_1!X54+Q60</f>
        <v>456</v>
      </c>
      <c r="V60" s="182">
        <f>Sek_1!Y54+R60</f>
        <v>224</v>
      </c>
    </row>
    <row r="61" spans="1:22" s="183" customFormat="1" ht="46.8" x14ac:dyDescent="0.25">
      <c r="A61" s="222"/>
      <c r="B61" s="170" t="s">
        <v>56</v>
      </c>
      <c r="C61" s="223" t="s">
        <v>34</v>
      </c>
      <c r="D61" s="224" t="e">
        <f>SUM(D59:D60)</f>
        <v>#REF!</v>
      </c>
      <c r="E61" s="171" t="e">
        <f>SUM(E59:E60)</f>
        <v>#REF!</v>
      </c>
      <c r="F61" s="312" t="e">
        <f>Sek_1!Z55</f>
        <v>#REF!</v>
      </c>
      <c r="G61" s="300">
        <f t="shared" ref="G61:L61" si="42">SUM(G59:G60)</f>
        <v>1583</v>
      </c>
      <c r="H61" s="225">
        <f t="shared" si="42"/>
        <v>834</v>
      </c>
      <c r="I61" s="171">
        <f t="shared" si="42"/>
        <v>1502</v>
      </c>
      <c r="J61" s="171">
        <f t="shared" si="42"/>
        <v>788</v>
      </c>
      <c r="K61" s="171">
        <f t="shared" si="42"/>
        <v>1502</v>
      </c>
      <c r="L61" s="171">
        <f t="shared" si="42"/>
        <v>775</v>
      </c>
      <c r="M61" s="219"/>
      <c r="N61" s="220"/>
      <c r="O61" s="171">
        <f>SUM(O59:O60)</f>
        <v>4587</v>
      </c>
      <c r="P61" s="171">
        <f t="shared" ref="P61:V61" si="43">SUM(P59:P60)</f>
        <v>2397</v>
      </c>
      <c r="Q61" s="171">
        <f t="shared" si="43"/>
        <v>141</v>
      </c>
      <c r="R61" s="171">
        <f t="shared" si="43"/>
        <v>72</v>
      </c>
      <c r="S61" s="171" t="e">
        <f t="shared" si="43"/>
        <v>#REF!</v>
      </c>
      <c r="T61" s="171" t="e">
        <f t="shared" si="43"/>
        <v>#REF!</v>
      </c>
      <c r="U61" s="171">
        <f t="shared" si="43"/>
        <v>498</v>
      </c>
      <c r="V61" s="171">
        <f t="shared" si="43"/>
        <v>254</v>
      </c>
    </row>
    <row r="62" spans="1:22" s="183" customFormat="1" ht="15.6" x14ac:dyDescent="0.25">
      <c r="A62" s="67">
        <v>12</v>
      </c>
      <c r="B62" s="170" t="s">
        <v>57</v>
      </c>
      <c r="C62" s="170" t="s">
        <v>11</v>
      </c>
      <c r="D62" s="171">
        <f>Sek_1!V56</f>
        <v>482</v>
      </c>
      <c r="E62" s="182">
        <f>Sek_1!W56</f>
        <v>229</v>
      </c>
      <c r="F62" s="172">
        <f>Sek_1!Z56</f>
        <v>17</v>
      </c>
      <c r="G62" s="173">
        <v>111</v>
      </c>
      <c r="H62" s="67">
        <v>51</v>
      </c>
      <c r="I62" s="63">
        <v>84</v>
      </c>
      <c r="J62" s="67">
        <v>43</v>
      </c>
      <c r="K62" s="63">
        <v>87</v>
      </c>
      <c r="L62" s="67">
        <v>40</v>
      </c>
      <c r="M62" s="175"/>
      <c r="N62" s="176"/>
      <c r="O62" s="63">
        <f t="shared" ref="O62:O66" si="44">G62+I62+K62+M62</f>
        <v>282</v>
      </c>
      <c r="P62" s="67">
        <f t="shared" ref="P62:P64" si="45">H62+J62+L62+N62</f>
        <v>134</v>
      </c>
      <c r="Q62" s="63">
        <f>2</f>
        <v>2</v>
      </c>
      <c r="R62" s="67">
        <v>1</v>
      </c>
      <c r="S62" s="63">
        <f>D62+O62</f>
        <v>764</v>
      </c>
      <c r="T62" s="182">
        <f>E62+P62</f>
        <v>363</v>
      </c>
      <c r="U62" s="171">
        <f>Sek_1!X56+Q62</f>
        <v>13</v>
      </c>
      <c r="V62" s="182">
        <f>Sek_1!Y56+R62</f>
        <v>5</v>
      </c>
    </row>
    <row r="63" spans="1:22" s="183" customFormat="1" ht="30" x14ac:dyDescent="0.25">
      <c r="A63" s="67">
        <v>13</v>
      </c>
      <c r="B63" s="170" t="s">
        <v>57</v>
      </c>
      <c r="C63" s="185" t="s">
        <v>12</v>
      </c>
      <c r="D63" s="171">
        <f>Sek_1!V57</f>
        <v>617</v>
      </c>
      <c r="E63" s="182">
        <f>Sek_1!W57</f>
        <v>324</v>
      </c>
      <c r="F63" s="172">
        <f>Sek_1!Z57</f>
        <v>20</v>
      </c>
      <c r="G63" s="173">
        <v>140</v>
      </c>
      <c r="H63" s="67">
        <v>78</v>
      </c>
      <c r="I63" s="63">
        <v>137</v>
      </c>
      <c r="J63" s="67">
        <v>69</v>
      </c>
      <c r="K63" s="63">
        <v>119</v>
      </c>
      <c r="L63" s="67">
        <v>69</v>
      </c>
      <c r="M63" s="186"/>
      <c r="N63" s="187"/>
      <c r="O63" s="63">
        <f t="shared" si="44"/>
        <v>396</v>
      </c>
      <c r="P63" s="67">
        <f t="shared" si="45"/>
        <v>216</v>
      </c>
      <c r="Q63" s="63">
        <v>1</v>
      </c>
      <c r="R63" s="226">
        <v>0</v>
      </c>
      <c r="S63" s="171">
        <f>D63+O63</f>
        <v>1013</v>
      </c>
      <c r="T63" s="182">
        <f>E63+P63</f>
        <v>540</v>
      </c>
      <c r="U63" s="171">
        <f>Sek_1!X57+Q63</f>
        <v>6</v>
      </c>
      <c r="V63" s="182">
        <f>Sek_1!Y57+R63</f>
        <v>3</v>
      </c>
    </row>
    <row r="64" spans="1:22" s="183" customFormat="1" ht="15.6" x14ac:dyDescent="0.25">
      <c r="A64" s="67">
        <v>14</v>
      </c>
      <c r="B64" s="170" t="s">
        <v>57</v>
      </c>
      <c r="C64" s="170" t="s">
        <v>13</v>
      </c>
      <c r="D64" s="171">
        <f>Sek_1!V58</f>
        <v>552</v>
      </c>
      <c r="E64" s="182">
        <f>Sek_1!W58</f>
        <v>552</v>
      </c>
      <c r="F64" s="172">
        <f>Sek_1!Z58</f>
        <v>20</v>
      </c>
      <c r="G64" s="173">
        <v>126</v>
      </c>
      <c r="H64" s="67">
        <v>126</v>
      </c>
      <c r="I64" s="63">
        <v>109</v>
      </c>
      <c r="J64" s="67">
        <v>109</v>
      </c>
      <c r="K64" s="63">
        <v>97</v>
      </c>
      <c r="L64" s="67">
        <v>97</v>
      </c>
      <c r="M64" s="186"/>
      <c r="N64" s="187"/>
      <c r="O64" s="63">
        <f t="shared" si="44"/>
        <v>332</v>
      </c>
      <c r="P64" s="67">
        <f t="shared" si="45"/>
        <v>332</v>
      </c>
      <c r="Q64" s="63">
        <f>3+2</f>
        <v>5</v>
      </c>
      <c r="R64" s="67">
        <f>3+2</f>
        <v>5</v>
      </c>
      <c r="S64" s="63">
        <f>D64+O64</f>
        <v>884</v>
      </c>
      <c r="T64" s="182">
        <f>E64+P64</f>
        <v>884</v>
      </c>
      <c r="U64" s="171">
        <f>Sek_1!X58+Q64</f>
        <v>20</v>
      </c>
      <c r="V64" s="182">
        <f>Sek_1!Y58+R64</f>
        <v>20</v>
      </c>
    </row>
    <row r="65" spans="1:22" s="183" customFormat="1" ht="31.2" x14ac:dyDescent="0.25">
      <c r="A65" s="222"/>
      <c r="B65" s="170" t="s">
        <v>57</v>
      </c>
      <c r="C65" s="223" t="s">
        <v>19</v>
      </c>
      <c r="D65" s="171">
        <f>Sek_1!V59</f>
        <v>1651</v>
      </c>
      <c r="E65" s="182">
        <f>Sek_1!W59</f>
        <v>1105</v>
      </c>
      <c r="F65" s="172">
        <f>Sek_1!Z59</f>
        <v>57</v>
      </c>
      <c r="G65" s="292">
        <f t="shared" ref="G65:L65" si="46">SUM(G62:G64)</f>
        <v>377</v>
      </c>
      <c r="H65" s="182">
        <f t="shared" si="46"/>
        <v>255</v>
      </c>
      <c r="I65" s="171">
        <f t="shared" si="46"/>
        <v>330</v>
      </c>
      <c r="J65" s="182">
        <f t="shared" si="46"/>
        <v>221</v>
      </c>
      <c r="K65" s="171">
        <f t="shared" si="46"/>
        <v>303</v>
      </c>
      <c r="L65" s="182">
        <f t="shared" si="46"/>
        <v>206</v>
      </c>
      <c r="M65" s="186"/>
      <c r="N65" s="187"/>
      <c r="O65" s="171">
        <f t="shared" si="44"/>
        <v>1010</v>
      </c>
      <c r="P65" s="182">
        <f t="shared" ref="P65:R65" si="47">SUM(P62:P64)</f>
        <v>682</v>
      </c>
      <c r="Q65" s="171">
        <f t="shared" si="47"/>
        <v>8</v>
      </c>
      <c r="R65" s="182">
        <f t="shared" si="47"/>
        <v>6</v>
      </c>
      <c r="S65" s="171">
        <f>S62+S63+S64</f>
        <v>2661</v>
      </c>
      <c r="T65" s="182">
        <f t="shared" ref="T65:V65" si="48">T62+T63+T64</f>
        <v>1787</v>
      </c>
      <c r="U65" s="171">
        <f t="shared" si="48"/>
        <v>39</v>
      </c>
      <c r="V65" s="182">
        <f t="shared" si="48"/>
        <v>28</v>
      </c>
    </row>
    <row r="66" spans="1:22" s="183" customFormat="1" ht="31.2" x14ac:dyDescent="0.25">
      <c r="A66" s="222"/>
      <c r="B66" s="170" t="s">
        <v>57</v>
      </c>
      <c r="C66" s="223" t="s">
        <v>21</v>
      </c>
      <c r="D66" s="171">
        <f>Sek_1!V60</f>
        <v>5550</v>
      </c>
      <c r="E66" s="182">
        <f>Sek_1!W60</f>
        <v>2617</v>
      </c>
      <c r="F66" s="172">
        <f>Sek_1!Z60</f>
        <v>207</v>
      </c>
      <c r="G66" s="292">
        <v>1162</v>
      </c>
      <c r="H66" s="182">
        <v>572</v>
      </c>
      <c r="I66" s="171">
        <v>1202</v>
      </c>
      <c r="J66" s="182">
        <v>581</v>
      </c>
      <c r="K66" s="171">
        <v>1141</v>
      </c>
      <c r="L66" s="182">
        <v>560</v>
      </c>
      <c r="M66" s="186"/>
      <c r="N66" s="187"/>
      <c r="O66" s="171">
        <f t="shared" si="44"/>
        <v>3505</v>
      </c>
      <c r="P66" s="182">
        <f t="shared" ref="P66" si="49">H66+J66+L66+N66</f>
        <v>1713</v>
      </c>
      <c r="Q66" s="171">
        <v>139</v>
      </c>
      <c r="R66" s="182">
        <v>68</v>
      </c>
      <c r="S66" s="171">
        <f>D66+O66</f>
        <v>9055</v>
      </c>
      <c r="T66" s="182">
        <f>E66+P66</f>
        <v>4330</v>
      </c>
      <c r="U66" s="171">
        <f>Sek_1!X60+Q66</f>
        <v>455</v>
      </c>
      <c r="V66" s="182">
        <f>Sek_1!Y60+R66</f>
        <v>224</v>
      </c>
    </row>
    <row r="67" spans="1:22" s="183" customFormat="1" ht="46.8" x14ac:dyDescent="0.25">
      <c r="A67" s="222"/>
      <c r="B67" s="170" t="s">
        <v>57</v>
      </c>
      <c r="C67" s="223" t="s">
        <v>34</v>
      </c>
      <c r="D67" s="224">
        <f>SUM(D65:D66)</f>
        <v>7201</v>
      </c>
      <c r="E67" s="171">
        <f>SUM(E65:E66)</f>
        <v>3722</v>
      </c>
      <c r="F67" s="312">
        <f>Sek_1!Z61</f>
        <v>264</v>
      </c>
      <c r="G67" s="300">
        <f t="shared" ref="G67:L67" si="50">SUM(G65:G66)</f>
        <v>1539</v>
      </c>
      <c r="H67" s="225">
        <f t="shared" si="50"/>
        <v>827</v>
      </c>
      <c r="I67" s="171">
        <f t="shared" si="50"/>
        <v>1532</v>
      </c>
      <c r="J67" s="171">
        <f t="shared" si="50"/>
        <v>802</v>
      </c>
      <c r="K67" s="171">
        <f t="shared" si="50"/>
        <v>1444</v>
      </c>
      <c r="L67" s="171">
        <f t="shared" si="50"/>
        <v>766</v>
      </c>
      <c r="M67" s="219"/>
      <c r="N67" s="220"/>
      <c r="O67" s="171">
        <f>SUM(O65:O66)</f>
        <v>4515</v>
      </c>
      <c r="P67" s="171">
        <f t="shared" ref="P67:V67" si="51">SUM(P65:P66)</f>
        <v>2395</v>
      </c>
      <c r="Q67" s="171">
        <f t="shared" si="51"/>
        <v>147</v>
      </c>
      <c r="R67" s="171">
        <f t="shared" si="51"/>
        <v>74</v>
      </c>
      <c r="S67" s="171">
        <f t="shared" si="51"/>
        <v>11716</v>
      </c>
      <c r="T67" s="171">
        <f t="shared" si="51"/>
        <v>6117</v>
      </c>
      <c r="U67" s="171">
        <f t="shared" si="51"/>
        <v>494</v>
      </c>
      <c r="V67" s="171">
        <f t="shared" si="51"/>
        <v>252</v>
      </c>
    </row>
    <row r="68" spans="1:22" ht="15.6" x14ac:dyDescent="0.25">
      <c r="A68" s="67">
        <v>12</v>
      </c>
      <c r="B68" s="170" t="s">
        <v>58</v>
      </c>
      <c r="C68" s="170" t="s">
        <v>11</v>
      </c>
      <c r="D68" s="171">
        <f>Sek_1!V62</f>
        <v>487</v>
      </c>
      <c r="E68" s="182">
        <f>Sek_1!W62</f>
        <v>226</v>
      </c>
      <c r="F68" s="172">
        <f>Sek_1!Z62</f>
        <v>17</v>
      </c>
      <c r="G68" s="173">
        <v>75</v>
      </c>
      <c r="H68" s="67">
        <v>47</v>
      </c>
      <c r="I68" s="63">
        <v>111</v>
      </c>
      <c r="J68" s="67">
        <v>50</v>
      </c>
      <c r="K68" s="63">
        <v>81</v>
      </c>
      <c r="L68" s="67">
        <v>41</v>
      </c>
      <c r="M68" s="175"/>
      <c r="N68" s="176"/>
      <c r="O68" s="171">
        <f t="shared" ref="O68:P71" si="52">G68+I68+K68+M68</f>
        <v>267</v>
      </c>
      <c r="P68" s="171">
        <f t="shared" si="52"/>
        <v>138</v>
      </c>
      <c r="Q68" s="63">
        <v>3</v>
      </c>
      <c r="R68" s="67">
        <v>1</v>
      </c>
      <c r="S68" s="63">
        <f>D68+O68</f>
        <v>754</v>
      </c>
      <c r="T68" s="182">
        <f>E68+P68</f>
        <v>364</v>
      </c>
      <c r="U68" s="171">
        <f>Sek_1!X62+Q68</f>
        <v>13</v>
      </c>
      <c r="V68" s="182">
        <f>Sek_1!Y62+R68</f>
        <v>4</v>
      </c>
    </row>
    <row r="69" spans="1:22" ht="30" x14ac:dyDescent="0.25">
      <c r="A69" s="67">
        <v>13</v>
      </c>
      <c r="B69" s="170" t="s">
        <v>58</v>
      </c>
      <c r="C69" s="185" t="s">
        <v>12</v>
      </c>
      <c r="D69" s="171">
        <f>Sek_1!V63</f>
        <v>609</v>
      </c>
      <c r="E69" s="182">
        <f>Sek_1!W63</f>
        <v>312</v>
      </c>
      <c r="F69" s="172">
        <f>Sek_1!Z63</f>
        <v>20</v>
      </c>
      <c r="G69" s="173">
        <v>147</v>
      </c>
      <c r="H69" s="67">
        <v>89</v>
      </c>
      <c r="I69" s="63">
        <v>139</v>
      </c>
      <c r="J69" s="67">
        <v>77</v>
      </c>
      <c r="K69" s="63">
        <v>130</v>
      </c>
      <c r="L69" s="67">
        <v>68</v>
      </c>
      <c r="M69" s="186"/>
      <c r="N69" s="187"/>
      <c r="O69" s="171">
        <f t="shared" si="52"/>
        <v>416</v>
      </c>
      <c r="P69" s="171">
        <f t="shared" si="52"/>
        <v>234</v>
      </c>
      <c r="Q69" s="63">
        <v>2</v>
      </c>
      <c r="R69" s="226">
        <v>1</v>
      </c>
      <c r="S69" s="171">
        <f>D69+O69</f>
        <v>1025</v>
      </c>
      <c r="T69" s="182">
        <f>E69+P69</f>
        <v>546</v>
      </c>
      <c r="U69" s="171">
        <f>Sek_1!X63+Q69</f>
        <v>9</v>
      </c>
      <c r="V69" s="182">
        <f>Sek_1!Y63+R69</f>
        <v>5</v>
      </c>
    </row>
    <row r="70" spans="1:22" ht="15.6" x14ac:dyDescent="0.25">
      <c r="A70" s="67">
        <v>14</v>
      </c>
      <c r="B70" s="170" t="s">
        <v>58</v>
      </c>
      <c r="C70" s="170" t="s">
        <v>13</v>
      </c>
      <c r="D70" s="171">
        <f>Sek_1!V64</f>
        <v>554</v>
      </c>
      <c r="E70" s="182">
        <f>Sek_1!W64</f>
        <v>554</v>
      </c>
      <c r="F70" s="172">
        <f>Sek_1!Z64</f>
        <v>20</v>
      </c>
      <c r="G70" s="173">
        <v>100</v>
      </c>
      <c r="H70" s="67">
        <v>100</v>
      </c>
      <c r="I70" s="63">
        <v>123</v>
      </c>
      <c r="J70" s="67">
        <v>123</v>
      </c>
      <c r="K70" s="63">
        <v>106</v>
      </c>
      <c r="L70" s="67">
        <v>106</v>
      </c>
      <c r="M70" s="186"/>
      <c r="N70" s="187"/>
      <c r="O70" s="171">
        <f t="shared" si="52"/>
        <v>329</v>
      </c>
      <c r="P70" s="171">
        <f t="shared" si="52"/>
        <v>329</v>
      </c>
      <c r="Q70" s="63">
        <v>6</v>
      </c>
      <c r="R70" s="67">
        <v>6</v>
      </c>
      <c r="S70" s="63">
        <f>D70+O70</f>
        <v>883</v>
      </c>
      <c r="T70" s="182">
        <f>E70+P70</f>
        <v>883</v>
      </c>
      <c r="U70" s="171">
        <f>Sek_1!X64+Q70</f>
        <v>24</v>
      </c>
      <c r="V70" s="182">
        <f>Sek_1!Y64+R70</f>
        <v>24</v>
      </c>
    </row>
    <row r="71" spans="1:22" ht="31.2" x14ac:dyDescent="0.25">
      <c r="A71" s="222"/>
      <c r="B71" s="170" t="s">
        <v>58</v>
      </c>
      <c r="C71" s="223" t="s">
        <v>19</v>
      </c>
      <c r="D71" s="171">
        <f>Sek_1!V65</f>
        <v>1650</v>
      </c>
      <c r="E71" s="182">
        <f>Sek_1!W65</f>
        <v>1092</v>
      </c>
      <c r="F71" s="172">
        <f>Sek_1!Z65</f>
        <v>57</v>
      </c>
      <c r="G71" s="292">
        <f t="shared" ref="G71:L71" si="53">SUM(G68:G70)</f>
        <v>322</v>
      </c>
      <c r="H71" s="182">
        <f t="shared" si="53"/>
        <v>236</v>
      </c>
      <c r="I71" s="171">
        <f t="shared" si="53"/>
        <v>373</v>
      </c>
      <c r="J71" s="182">
        <f t="shared" si="53"/>
        <v>250</v>
      </c>
      <c r="K71" s="171">
        <f t="shared" si="53"/>
        <v>317</v>
      </c>
      <c r="L71" s="182">
        <f t="shared" si="53"/>
        <v>215</v>
      </c>
      <c r="M71" s="186"/>
      <c r="N71" s="187"/>
      <c r="O71" s="171">
        <f t="shared" si="52"/>
        <v>1012</v>
      </c>
      <c r="P71" s="182">
        <f t="shared" ref="P71:R71" si="54">SUM(P68:P70)</f>
        <v>701</v>
      </c>
      <c r="Q71" s="171">
        <f t="shared" si="54"/>
        <v>11</v>
      </c>
      <c r="R71" s="182">
        <f t="shared" si="54"/>
        <v>8</v>
      </c>
      <c r="S71" s="171">
        <f>S68+S69+S70</f>
        <v>2662</v>
      </c>
      <c r="T71" s="182">
        <f t="shared" ref="T71:V71" si="55">T68+T69+T70</f>
        <v>1793</v>
      </c>
      <c r="U71" s="171">
        <f t="shared" si="55"/>
        <v>46</v>
      </c>
      <c r="V71" s="182">
        <f t="shared" si="55"/>
        <v>33</v>
      </c>
    </row>
    <row r="72" spans="1:22" ht="31.2" x14ac:dyDescent="0.25">
      <c r="A72" s="222"/>
      <c r="B72" s="170" t="s">
        <v>58</v>
      </c>
      <c r="C72" s="223" t="s">
        <v>21</v>
      </c>
      <c r="D72" s="171">
        <f>Sek_1!V66</f>
        <v>5491</v>
      </c>
      <c r="E72" s="182">
        <f>Sek_1!W66</f>
        <v>2535</v>
      </c>
      <c r="F72" s="172">
        <f>Sek_1!Z66</f>
        <v>205</v>
      </c>
      <c r="G72" s="292">
        <v>1153</v>
      </c>
      <c r="H72" s="182">
        <v>578</v>
      </c>
      <c r="I72" s="171">
        <v>1104</v>
      </c>
      <c r="J72" s="182">
        <v>553</v>
      </c>
      <c r="K72" s="171">
        <v>1141</v>
      </c>
      <c r="L72" s="182">
        <v>555</v>
      </c>
      <c r="M72" s="186"/>
      <c r="N72" s="187"/>
      <c r="O72" s="171">
        <v>3398</v>
      </c>
      <c r="P72" s="182">
        <v>1686</v>
      </c>
      <c r="Q72" s="171">
        <v>142</v>
      </c>
      <c r="R72" s="182">
        <v>77</v>
      </c>
      <c r="S72" s="171">
        <f>D72+O72</f>
        <v>8889</v>
      </c>
      <c r="T72" s="182">
        <f>E72+P72</f>
        <v>4221</v>
      </c>
      <c r="U72" s="171">
        <f>Sek_1!X66+Q72</f>
        <v>465</v>
      </c>
      <c r="V72" s="182">
        <f>Sek_1!Y66+R72</f>
        <v>233</v>
      </c>
    </row>
    <row r="73" spans="1:22" ht="46.8" x14ac:dyDescent="0.25">
      <c r="A73" s="222"/>
      <c r="B73" s="170" t="s">
        <v>58</v>
      </c>
      <c r="C73" s="223" t="s">
        <v>34</v>
      </c>
      <c r="D73" s="224">
        <f>SUM(D71:D72)</f>
        <v>7141</v>
      </c>
      <c r="E73" s="171">
        <f>SUM(E71:E72)</f>
        <v>3627</v>
      </c>
      <c r="F73" s="312">
        <f>Sek_1!Z67</f>
        <v>262</v>
      </c>
      <c r="G73" s="300">
        <f t="shared" ref="G73:L73" si="56">SUM(G71:G72)</f>
        <v>1475</v>
      </c>
      <c r="H73" s="225">
        <f t="shared" si="56"/>
        <v>814</v>
      </c>
      <c r="I73" s="171">
        <f t="shared" si="56"/>
        <v>1477</v>
      </c>
      <c r="J73" s="171">
        <f t="shared" si="56"/>
        <v>803</v>
      </c>
      <c r="K73" s="171">
        <f t="shared" si="56"/>
        <v>1458</v>
      </c>
      <c r="L73" s="171">
        <f t="shared" si="56"/>
        <v>770</v>
      </c>
      <c r="M73" s="219"/>
      <c r="N73" s="220"/>
      <c r="O73" s="171">
        <f>SUM(O71:O72)</f>
        <v>4410</v>
      </c>
      <c r="P73" s="171">
        <f t="shared" ref="P73:V73" si="57">SUM(P71:P72)</f>
        <v>2387</v>
      </c>
      <c r="Q73" s="171">
        <f t="shared" si="57"/>
        <v>153</v>
      </c>
      <c r="R73" s="171">
        <f t="shared" si="57"/>
        <v>85</v>
      </c>
      <c r="S73" s="171">
        <f t="shared" si="57"/>
        <v>11551</v>
      </c>
      <c r="T73" s="171">
        <f t="shared" si="57"/>
        <v>6014</v>
      </c>
      <c r="U73" s="171">
        <f t="shared" si="57"/>
        <v>511</v>
      </c>
      <c r="V73" s="171">
        <f t="shared" si="57"/>
        <v>266</v>
      </c>
    </row>
    <row r="74" spans="1:22" ht="15.6" x14ac:dyDescent="0.25">
      <c r="A74" s="67">
        <v>12</v>
      </c>
      <c r="B74" s="170" t="s">
        <v>59</v>
      </c>
      <c r="C74" s="170" t="s">
        <v>11</v>
      </c>
      <c r="D74" s="171">
        <f>Sek_1!V68</f>
        <v>468</v>
      </c>
      <c r="E74" s="182">
        <f>Sek_1!W68</f>
        <v>229</v>
      </c>
      <c r="F74" s="172">
        <f>Sek_1!Z68</f>
        <v>16</v>
      </c>
      <c r="G74" s="173">
        <v>103</v>
      </c>
      <c r="H74" s="67">
        <v>36</v>
      </c>
      <c r="I74" s="63">
        <v>77</v>
      </c>
      <c r="J74" s="67">
        <v>46</v>
      </c>
      <c r="K74" s="63">
        <v>104</v>
      </c>
      <c r="L74" s="67">
        <v>48</v>
      </c>
      <c r="M74" s="175"/>
      <c r="N74" s="176"/>
      <c r="O74" s="171">
        <f t="shared" ref="O74:O77" si="58">G74+I74+K74+M74</f>
        <v>284</v>
      </c>
      <c r="P74" s="182">
        <f t="shared" ref="P74:P76" si="59">H74+J74+L74+N74</f>
        <v>130</v>
      </c>
      <c r="Q74" s="229">
        <v>0</v>
      </c>
      <c r="R74" s="230">
        <v>0</v>
      </c>
      <c r="S74" s="228">
        <f>D74+O74</f>
        <v>752</v>
      </c>
      <c r="T74" s="182">
        <f>E74+P74</f>
        <v>359</v>
      </c>
      <c r="U74" s="171">
        <f>Sek_1!X68+Sek_2!Q74</f>
        <v>12</v>
      </c>
      <c r="V74" s="182">
        <f>Sek_1!Y68+Sek_2!R74</f>
        <v>4</v>
      </c>
    </row>
    <row r="75" spans="1:22" ht="30" x14ac:dyDescent="0.25">
      <c r="A75" s="67">
        <v>13</v>
      </c>
      <c r="B75" s="170" t="s">
        <v>59</v>
      </c>
      <c r="C75" s="185" t="s">
        <v>12</v>
      </c>
      <c r="D75" s="171">
        <f>Sek_1!V69</f>
        <v>618</v>
      </c>
      <c r="E75" s="182">
        <f>Sek_1!W69</f>
        <v>322</v>
      </c>
      <c r="F75" s="172">
        <f>Sek_1!Z69</f>
        <v>20</v>
      </c>
      <c r="G75" s="173">
        <v>131</v>
      </c>
      <c r="H75" s="67">
        <v>66</v>
      </c>
      <c r="I75" s="63">
        <v>144</v>
      </c>
      <c r="J75" s="67">
        <v>89</v>
      </c>
      <c r="K75" s="63">
        <v>136</v>
      </c>
      <c r="L75" s="67">
        <v>78</v>
      </c>
      <c r="M75" s="186"/>
      <c r="N75" s="187"/>
      <c r="O75" s="171">
        <f t="shared" si="58"/>
        <v>411</v>
      </c>
      <c r="P75" s="182">
        <f t="shared" si="59"/>
        <v>233</v>
      </c>
      <c r="Q75" s="63">
        <v>5</v>
      </c>
      <c r="R75" s="231">
        <v>4</v>
      </c>
      <c r="S75" s="188">
        <f>D75+O75</f>
        <v>1029</v>
      </c>
      <c r="T75" s="182">
        <f>E75+P75</f>
        <v>555</v>
      </c>
      <c r="U75" s="171">
        <f>Sek_1!X69+Sek_2!Q75</f>
        <v>9</v>
      </c>
      <c r="V75" s="182">
        <f>Sek_1!Y69+Sek_2!R75</f>
        <v>7</v>
      </c>
    </row>
    <row r="76" spans="1:22" ht="15.6" x14ac:dyDescent="0.25">
      <c r="A76" s="67">
        <v>14</v>
      </c>
      <c r="B76" s="170" t="s">
        <v>59</v>
      </c>
      <c r="C76" s="170" t="s">
        <v>13</v>
      </c>
      <c r="D76" s="171">
        <f>Sek_1!V70</f>
        <v>552</v>
      </c>
      <c r="E76" s="182">
        <f>Sek_1!W70</f>
        <v>552</v>
      </c>
      <c r="F76" s="172">
        <f>Sek_1!Z70</f>
        <v>20</v>
      </c>
      <c r="G76" s="173">
        <v>116</v>
      </c>
      <c r="H76" s="67">
        <v>116</v>
      </c>
      <c r="I76" s="63">
        <v>99</v>
      </c>
      <c r="J76" s="67">
        <v>99</v>
      </c>
      <c r="K76" s="63">
        <v>120</v>
      </c>
      <c r="L76" s="67">
        <v>120</v>
      </c>
      <c r="M76" s="186"/>
      <c r="N76" s="187"/>
      <c r="O76" s="171">
        <f t="shared" si="58"/>
        <v>335</v>
      </c>
      <c r="P76" s="182">
        <f t="shared" si="59"/>
        <v>335</v>
      </c>
      <c r="Q76" s="63">
        <v>9</v>
      </c>
      <c r="R76" s="68">
        <v>9</v>
      </c>
      <c r="S76" s="228">
        <f>D76+O76</f>
        <v>887</v>
      </c>
      <c r="T76" s="182">
        <f>E76+P76</f>
        <v>887</v>
      </c>
      <c r="U76" s="171">
        <f>Sek_1!X70+Sek_2!Q76</f>
        <v>25</v>
      </c>
      <c r="V76" s="182">
        <f>Sek_1!Y70+Sek_2!R76</f>
        <v>25</v>
      </c>
    </row>
    <row r="77" spans="1:22" ht="31.2" x14ac:dyDescent="0.25">
      <c r="A77" s="222"/>
      <c r="B77" s="170" t="s">
        <v>59</v>
      </c>
      <c r="C77" s="223" t="s">
        <v>19</v>
      </c>
      <c r="D77" s="171">
        <f>Sek_1!V71</f>
        <v>1638</v>
      </c>
      <c r="E77" s="182">
        <f>Sek_1!W71</f>
        <v>1103</v>
      </c>
      <c r="F77" s="172">
        <f>Sek_1!Z71</f>
        <v>56</v>
      </c>
      <c r="G77" s="292">
        <f t="shared" ref="G77:L77" si="60">SUM(G74:G76)</f>
        <v>350</v>
      </c>
      <c r="H77" s="182">
        <f t="shared" si="60"/>
        <v>218</v>
      </c>
      <c r="I77" s="171">
        <f t="shared" si="60"/>
        <v>320</v>
      </c>
      <c r="J77" s="182">
        <f t="shared" si="60"/>
        <v>234</v>
      </c>
      <c r="K77" s="171">
        <f t="shared" si="60"/>
        <v>360</v>
      </c>
      <c r="L77" s="182">
        <f t="shared" si="60"/>
        <v>246</v>
      </c>
      <c r="M77" s="186"/>
      <c r="N77" s="187"/>
      <c r="O77" s="171">
        <f t="shared" si="58"/>
        <v>1030</v>
      </c>
      <c r="P77" s="182">
        <f t="shared" ref="P77:R77" si="61">SUM(P74:P76)</f>
        <v>698</v>
      </c>
      <c r="Q77" s="171">
        <f t="shared" si="61"/>
        <v>14</v>
      </c>
      <c r="R77" s="227">
        <f t="shared" si="61"/>
        <v>13</v>
      </c>
      <c r="S77" s="188">
        <f>S74+S75+S76</f>
        <v>2668</v>
      </c>
      <c r="T77" s="182">
        <f t="shared" ref="T77:V77" si="62">T74+T75+T76</f>
        <v>1801</v>
      </c>
      <c r="U77" s="171">
        <f t="shared" si="62"/>
        <v>46</v>
      </c>
      <c r="V77" s="182">
        <f t="shared" si="62"/>
        <v>36</v>
      </c>
    </row>
    <row r="78" spans="1:22" ht="31.2" x14ac:dyDescent="0.25">
      <c r="A78" s="222"/>
      <c r="B78" s="170" t="s">
        <v>59</v>
      </c>
      <c r="C78" s="223" t="s">
        <v>21</v>
      </c>
      <c r="D78" s="171">
        <f>Sek_1!V72</f>
        <v>5537</v>
      </c>
      <c r="E78" s="182">
        <f>Sek_1!W72</f>
        <v>2590</v>
      </c>
      <c r="F78" s="172">
        <f>Sek_1!Z72</f>
        <v>209</v>
      </c>
      <c r="G78" s="292">
        <v>1110</v>
      </c>
      <c r="H78" s="182">
        <v>508</v>
      </c>
      <c r="I78" s="171">
        <v>1127</v>
      </c>
      <c r="J78" s="182">
        <v>574</v>
      </c>
      <c r="K78" s="171">
        <v>1055</v>
      </c>
      <c r="L78" s="182">
        <v>539</v>
      </c>
      <c r="M78" s="186"/>
      <c r="N78" s="187"/>
      <c r="O78" s="171">
        <v>3292</v>
      </c>
      <c r="P78" s="182">
        <v>1621</v>
      </c>
      <c r="Q78" s="171">
        <v>149</v>
      </c>
      <c r="R78" s="227">
        <v>79</v>
      </c>
      <c r="S78" s="188">
        <f>D78+O78</f>
        <v>8829</v>
      </c>
      <c r="T78" s="182">
        <f>E78+P78</f>
        <v>4211</v>
      </c>
      <c r="U78" s="171">
        <v>463</v>
      </c>
      <c r="V78" s="182">
        <v>243</v>
      </c>
    </row>
    <row r="79" spans="1:22" ht="46.8" x14ac:dyDescent="0.25">
      <c r="A79" s="222"/>
      <c r="B79" s="170" t="s">
        <v>59</v>
      </c>
      <c r="C79" s="223" t="s">
        <v>34</v>
      </c>
      <c r="D79" s="224">
        <f>SUM(D77:D78)</f>
        <v>7175</v>
      </c>
      <c r="E79" s="171">
        <f>SUM(E77:E78)</f>
        <v>3693</v>
      </c>
      <c r="F79" s="312">
        <f>Sek_1!Z73</f>
        <v>265</v>
      </c>
      <c r="G79" s="300">
        <f t="shared" ref="G79:L79" si="63">SUM(G77:G78)</f>
        <v>1460</v>
      </c>
      <c r="H79" s="225">
        <f t="shared" si="63"/>
        <v>726</v>
      </c>
      <c r="I79" s="171">
        <f t="shared" si="63"/>
        <v>1447</v>
      </c>
      <c r="J79" s="171">
        <f t="shared" si="63"/>
        <v>808</v>
      </c>
      <c r="K79" s="171">
        <f t="shared" si="63"/>
        <v>1415</v>
      </c>
      <c r="L79" s="171">
        <f t="shared" si="63"/>
        <v>785</v>
      </c>
      <c r="M79" s="219"/>
      <c r="N79" s="220"/>
      <c r="O79" s="171">
        <f>SUM(O77:O78)</f>
        <v>4322</v>
      </c>
      <c r="P79" s="171">
        <f t="shared" ref="P79:V79" si="64">SUM(P77:P78)</f>
        <v>2319</v>
      </c>
      <c r="Q79" s="171">
        <f t="shared" si="64"/>
        <v>163</v>
      </c>
      <c r="R79" s="232">
        <f t="shared" si="64"/>
        <v>92</v>
      </c>
      <c r="S79" s="188">
        <f t="shared" si="64"/>
        <v>11497</v>
      </c>
      <c r="T79" s="171">
        <f t="shared" si="64"/>
        <v>6012</v>
      </c>
      <c r="U79" s="171">
        <f t="shared" si="64"/>
        <v>509</v>
      </c>
      <c r="V79" s="171">
        <f t="shared" si="64"/>
        <v>279</v>
      </c>
    </row>
    <row r="80" spans="1:22" ht="15.6" x14ac:dyDescent="0.25">
      <c r="A80" s="233" t="s">
        <v>61</v>
      </c>
      <c r="D80" s="85"/>
      <c r="E80" s="85"/>
      <c r="F80" s="302"/>
    </row>
    <row r="81" spans="1:22" ht="30" x14ac:dyDescent="0.25">
      <c r="A81" s="67">
        <v>12</v>
      </c>
      <c r="B81" s="170" t="s">
        <v>63</v>
      </c>
      <c r="C81" s="185" t="s">
        <v>68</v>
      </c>
      <c r="D81" s="171">
        <f>Sek_1!V74</f>
        <v>452</v>
      </c>
      <c r="E81" s="182">
        <f>Sek_1!W74</f>
        <v>222</v>
      </c>
      <c r="F81" s="172">
        <f>Sek_1!Z74</f>
        <v>15</v>
      </c>
      <c r="G81" s="173">
        <v>111</v>
      </c>
      <c r="H81" s="67">
        <v>59</v>
      </c>
      <c r="I81" s="63">
        <v>98</v>
      </c>
      <c r="J81" s="67">
        <v>34</v>
      </c>
      <c r="K81" s="63">
        <v>72</v>
      </c>
      <c r="L81" s="67">
        <v>45</v>
      </c>
      <c r="M81" s="175"/>
      <c r="N81" s="176"/>
      <c r="O81" s="171">
        <f t="shared" ref="O81:O84" si="65">G81+I81+K81+M81</f>
        <v>281</v>
      </c>
      <c r="P81" s="182">
        <f t="shared" ref="P81:P83" si="66">H81+J81+L81+N81</f>
        <v>138</v>
      </c>
      <c r="Q81" s="229">
        <v>4</v>
      </c>
      <c r="R81" s="230">
        <v>0</v>
      </c>
      <c r="S81" s="228">
        <f>D81+O81</f>
        <v>733</v>
      </c>
      <c r="T81" s="182">
        <f>E81+P81</f>
        <v>360</v>
      </c>
      <c r="U81" s="171">
        <f>Sek_1!X74+Sek_2!Q81</f>
        <v>13</v>
      </c>
      <c r="V81" s="182">
        <f>Sek_1!Y74+Sek_2!R81</f>
        <v>4</v>
      </c>
    </row>
    <row r="82" spans="1:22" ht="47.25" customHeight="1" x14ac:dyDescent="0.25">
      <c r="A82" s="67">
        <v>13</v>
      </c>
      <c r="B82" s="170" t="s">
        <v>63</v>
      </c>
      <c r="C82" s="185" t="s">
        <v>69</v>
      </c>
      <c r="D82" s="171">
        <f>Sek_1!V75</f>
        <v>618</v>
      </c>
      <c r="E82" s="182">
        <f>Sek_1!W75</f>
        <v>325</v>
      </c>
      <c r="F82" s="172">
        <f>Sek_1!Z75</f>
        <v>20</v>
      </c>
      <c r="G82" s="173">
        <v>133</v>
      </c>
      <c r="H82" s="67">
        <v>63</v>
      </c>
      <c r="I82" s="63">
        <v>128</v>
      </c>
      <c r="J82" s="67">
        <v>65</v>
      </c>
      <c r="K82" s="63">
        <v>140</v>
      </c>
      <c r="L82" s="67">
        <v>86</v>
      </c>
      <c r="M82" s="186"/>
      <c r="N82" s="187"/>
      <c r="O82" s="171">
        <f t="shared" si="65"/>
        <v>401</v>
      </c>
      <c r="P82" s="182">
        <f t="shared" si="66"/>
        <v>214</v>
      </c>
      <c r="Q82" s="63">
        <v>7</v>
      </c>
      <c r="R82" s="231">
        <v>6</v>
      </c>
      <c r="S82" s="188">
        <f>D82+O82</f>
        <v>1019</v>
      </c>
      <c r="T82" s="182">
        <f>E82+P82</f>
        <v>539</v>
      </c>
      <c r="U82" s="171">
        <f>Sek_1!X75+Sek_2!Q82</f>
        <v>9</v>
      </c>
      <c r="V82" s="182">
        <f>Sek_1!Y75+Sek_2!R82</f>
        <v>7</v>
      </c>
    </row>
    <row r="83" spans="1:22" ht="47.25" customHeight="1" x14ac:dyDescent="0.25">
      <c r="A83" s="67">
        <v>14</v>
      </c>
      <c r="B83" s="170" t="s">
        <v>63</v>
      </c>
      <c r="C83" s="185" t="s">
        <v>70</v>
      </c>
      <c r="D83" s="171">
        <f>Sek_1!V76</f>
        <v>517</v>
      </c>
      <c r="E83" s="182">
        <f>Sek_1!W76</f>
        <v>517</v>
      </c>
      <c r="F83" s="172">
        <f>Sek_1!Z76</f>
        <v>19</v>
      </c>
      <c r="G83" s="173">
        <v>103</v>
      </c>
      <c r="H83" s="67">
        <v>103</v>
      </c>
      <c r="I83" s="63">
        <v>113</v>
      </c>
      <c r="J83" s="67">
        <v>113</v>
      </c>
      <c r="K83" s="63">
        <v>94</v>
      </c>
      <c r="L83" s="67">
        <v>94</v>
      </c>
      <c r="M83" s="186"/>
      <c r="N83" s="187"/>
      <c r="O83" s="171">
        <f t="shared" si="65"/>
        <v>310</v>
      </c>
      <c r="P83" s="182">
        <f t="shared" si="66"/>
        <v>310</v>
      </c>
      <c r="Q83" s="63">
        <v>10</v>
      </c>
      <c r="R83" s="68">
        <v>10</v>
      </c>
      <c r="S83" s="228">
        <f>D83+O83</f>
        <v>827</v>
      </c>
      <c r="T83" s="182">
        <f>E83+P83</f>
        <v>827</v>
      </c>
      <c r="U83" s="171">
        <f>Sek_1!X76+Sek_2!Q83</f>
        <v>29</v>
      </c>
      <c r="V83" s="182">
        <f>Sek_1!Y76+Sek_2!R83</f>
        <v>29</v>
      </c>
    </row>
    <row r="84" spans="1:22" ht="35.25" customHeight="1" x14ac:dyDescent="0.25">
      <c r="A84" s="222"/>
      <c r="B84" s="170" t="s">
        <v>63</v>
      </c>
      <c r="C84" s="223" t="s">
        <v>19</v>
      </c>
      <c r="D84" s="171">
        <f>Sek_1!V77</f>
        <v>1587</v>
      </c>
      <c r="E84" s="182">
        <f>Sek_1!W77</f>
        <v>1064</v>
      </c>
      <c r="F84" s="172">
        <f>Sek_1!Z77</f>
        <v>54</v>
      </c>
      <c r="G84" s="292">
        <f t="shared" ref="G84:L84" si="67">SUM(G81:G83)</f>
        <v>347</v>
      </c>
      <c r="H84" s="182">
        <f t="shared" si="67"/>
        <v>225</v>
      </c>
      <c r="I84" s="171">
        <f t="shared" si="67"/>
        <v>339</v>
      </c>
      <c r="J84" s="182">
        <f t="shared" si="67"/>
        <v>212</v>
      </c>
      <c r="K84" s="171">
        <f t="shared" si="67"/>
        <v>306</v>
      </c>
      <c r="L84" s="182">
        <f t="shared" si="67"/>
        <v>225</v>
      </c>
      <c r="M84" s="186"/>
      <c r="N84" s="187"/>
      <c r="O84" s="171">
        <f t="shared" si="65"/>
        <v>992</v>
      </c>
      <c r="P84" s="182">
        <f t="shared" ref="P84:R84" si="68">SUM(P81:P83)</f>
        <v>662</v>
      </c>
      <c r="Q84" s="171">
        <f t="shared" si="68"/>
        <v>21</v>
      </c>
      <c r="R84" s="227">
        <f t="shared" si="68"/>
        <v>16</v>
      </c>
      <c r="S84" s="188">
        <f>S81+S82+S83</f>
        <v>2579</v>
      </c>
      <c r="T84" s="182">
        <f t="shared" ref="T84:V84" si="69">T81+T82+T83</f>
        <v>1726</v>
      </c>
      <c r="U84" s="171">
        <f t="shared" si="69"/>
        <v>51</v>
      </c>
      <c r="V84" s="182">
        <f t="shared" si="69"/>
        <v>40</v>
      </c>
    </row>
    <row r="85" spans="1:22" ht="35.25" customHeight="1" x14ac:dyDescent="0.25">
      <c r="A85" s="222"/>
      <c r="B85" s="170" t="s">
        <v>63</v>
      </c>
      <c r="C85" s="223" t="s">
        <v>21</v>
      </c>
      <c r="D85" s="171">
        <f>Sek_1!V78</f>
        <v>5658</v>
      </c>
      <c r="E85" s="182">
        <f>Sek_1!W78</f>
        <v>2648</v>
      </c>
      <c r="F85" s="172">
        <f>Sek_1!Z78</f>
        <v>211</v>
      </c>
      <c r="G85" s="292">
        <v>1132</v>
      </c>
      <c r="H85" s="182">
        <v>556</v>
      </c>
      <c r="I85" s="171">
        <v>1051</v>
      </c>
      <c r="J85" s="182">
        <v>483</v>
      </c>
      <c r="K85" s="171">
        <v>1056</v>
      </c>
      <c r="L85" s="182">
        <v>541</v>
      </c>
      <c r="M85" s="186"/>
      <c r="N85" s="187"/>
      <c r="O85" s="171">
        <v>3239</v>
      </c>
      <c r="P85" s="182">
        <v>1580</v>
      </c>
      <c r="Q85" s="171">
        <v>148</v>
      </c>
      <c r="R85" s="227">
        <v>78</v>
      </c>
      <c r="S85" s="188">
        <f>D85+O85</f>
        <v>8897</v>
      </c>
      <c r="T85" s="182">
        <f>E85+P85</f>
        <v>4228</v>
      </c>
      <c r="U85" s="171">
        <v>506</v>
      </c>
      <c r="V85" s="182">
        <v>273</v>
      </c>
    </row>
    <row r="86" spans="1:22" ht="52.5" customHeight="1" x14ac:dyDescent="0.25">
      <c r="A86" s="222"/>
      <c r="B86" s="170" t="s">
        <v>63</v>
      </c>
      <c r="C86" s="223" t="s">
        <v>34</v>
      </c>
      <c r="D86" s="224">
        <f>SUM(D84:D85)</f>
        <v>7245</v>
      </c>
      <c r="E86" s="171">
        <f>SUM(E84:E85)</f>
        <v>3712</v>
      </c>
      <c r="F86" s="312">
        <f>Sek_1!Z79</f>
        <v>265</v>
      </c>
      <c r="G86" s="300">
        <f t="shared" ref="G86:L86" si="70">SUM(G84:G85)</f>
        <v>1479</v>
      </c>
      <c r="H86" s="225">
        <f t="shared" si="70"/>
        <v>781</v>
      </c>
      <c r="I86" s="171">
        <f t="shared" si="70"/>
        <v>1390</v>
      </c>
      <c r="J86" s="171">
        <f t="shared" si="70"/>
        <v>695</v>
      </c>
      <c r="K86" s="171">
        <f t="shared" si="70"/>
        <v>1362</v>
      </c>
      <c r="L86" s="171">
        <f t="shared" si="70"/>
        <v>766</v>
      </c>
      <c r="M86" s="219"/>
      <c r="N86" s="220"/>
      <c r="O86" s="171">
        <f>SUM(O84:O85)</f>
        <v>4231</v>
      </c>
      <c r="P86" s="171">
        <f t="shared" ref="P86:V86" si="71">SUM(P84:P85)</f>
        <v>2242</v>
      </c>
      <c r="Q86" s="171">
        <f t="shared" si="71"/>
        <v>169</v>
      </c>
      <c r="R86" s="232">
        <f t="shared" si="71"/>
        <v>94</v>
      </c>
      <c r="S86" s="188">
        <f t="shared" si="71"/>
        <v>11476</v>
      </c>
      <c r="T86" s="171">
        <f t="shared" si="71"/>
        <v>5954</v>
      </c>
      <c r="U86" s="171">
        <f t="shared" si="71"/>
        <v>557</v>
      </c>
      <c r="V86" s="171">
        <f t="shared" si="71"/>
        <v>313</v>
      </c>
    </row>
    <row r="87" spans="1:22" ht="20.100000000000001" customHeight="1" x14ac:dyDescent="0.25">
      <c r="A87" s="233" t="s">
        <v>67</v>
      </c>
    </row>
    <row r="89" spans="1:22" ht="20.100000000000001" customHeight="1" x14ac:dyDescent="0.25">
      <c r="G89" s="234"/>
    </row>
  </sheetData>
  <mergeCells count="18">
    <mergeCell ref="D4:F4"/>
    <mergeCell ref="D5:F5"/>
    <mergeCell ref="A3:A6"/>
    <mergeCell ref="B3:B6"/>
    <mergeCell ref="C3:C6"/>
    <mergeCell ref="D3:V3"/>
    <mergeCell ref="S4:V4"/>
    <mergeCell ref="S5:T5"/>
    <mergeCell ref="K5:L5"/>
    <mergeCell ref="M5:N5"/>
    <mergeCell ref="U5:V5"/>
    <mergeCell ref="G4:R4"/>
    <mergeCell ref="G5:H5"/>
    <mergeCell ref="Q5:R5"/>
    <mergeCell ref="O5:P5"/>
    <mergeCell ref="I5:J5"/>
    <mergeCell ref="M44:N49"/>
    <mergeCell ref="M38:N43"/>
  </mergeCells>
  <phoneticPr fontId="4" type="noConversion"/>
  <pageMargins left="0.70866141732283472" right="0.19685039370078741" top="1.1811023622047245" bottom="0.78740157480314965" header="0.78740157480314965" footer="0.19685039370078741"/>
  <pageSetup paperSize="9" scale="89" fitToHeight="0" orientation="landscape" horizontalDpi="1200" verticalDpi="1200" r:id="rId1"/>
  <headerFooter alignWithMargins="0">
    <oddHeader>&amp;R&amp;12Amt&amp;"Arial,Fett" für Schule und Weiterbildung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V8"/>
  <sheetViews>
    <sheetView workbookViewId="0">
      <selection activeCell="C27" sqref="C27"/>
    </sheetView>
  </sheetViews>
  <sheetFormatPr baseColWidth="10" defaultRowHeight="13.2" x14ac:dyDescent="0.25"/>
  <cols>
    <col min="1" max="1" width="4.44140625" bestFit="1" customWidth="1"/>
    <col min="2" max="2" width="12.44140625" customWidth="1"/>
    <col min="3" max="3" width="41.44140625" customWidth="1"/>
    <col min="4" max="6" width="7.6640625" hidden="1" customWidth="1"/>
    <col min="7" max="7" width="8.44140625" hidden="1" customWidth="1"/>
    <col min="8" max="8" width="5" bestFit="1" customWidth="1"/>
    <col min="9" max="12" width="3.88671875" customWidth="1"/>
    <col min="13" max="15" width="5" bestFit="1" customWidth="1"/>
    <col min="16" max="16" width="4.88671875" customWidth="1"/>
    <col min="17" max="18" width="5" bestFit="1" customWidth="1"/>
    <col min="19" max="19" width="6.33203125" bestFit="1" customWidth="1"/>
    <col min="20" max="20" width="8.109375" bestFit="1" customWidth="1"/>
    <col min="21" max="21" width="11.88671875" bestFit="1" customWidth="1"/>
    <col min="22" max="22" width="8.5546875" bestFit="1" customWidth="1"/>
  </cols>
  <sheetData>
    <row r="1" spans="1:22" ht="24.75" customHeight="1" x14ac:dyDescent="0.25">
      <c r="A1" s="347" t="s">
        <v>43</v>
      </c>
      <c r="B1" s="350" t="s">
        <v>1</v>
      </c>
      <c r="C1" s="353" t="s">
        <v>38</v>
      </c>
      <c r="D1" s="356" t="s">
        <v>44</v>
      </c>
      <c r="E1" s="357"/>
      <c r="F1" s="360" t="s">
        <v>45</v>
      </c>
      <c r="G1" s="357"/>
      <c r="H1" s="362" t="s">
        <v>46</v>
      </c>
      <c r="I1" s="363"/>
      <c r="J1" s="363"/>
      <c r="K1" s="363"/>
      <c r="L1" s="363"/>
      <c r="M1" s="364"/>
      <c r="N1" s="362" t="s">
        <v>54</v>
      </c>
      <c r="O1" s="363"/>
      <c r="P1" s="363"/>
      <c r="Q1" s="363"/>
      <c r="R1" s="363"/>
      <c r="S1" s="364"/>
      <c r="T1" s="365" t="s">
        <v>47</v>
      </c>
      <c r="U1" s="364" t="s">
        <v>48</v>
      </c>
      <c r="V1" s="370" t="s">
        <v>49</v>
      </c>
    </row>
    <row r="2" spans="1:22" ht="24.75" customHeight="1" x14ac:dyDescent="0.25">
      <c r="A2" s="348"/>
      <c r="B2" s="351"/>
      <c r="C2" s="354"/>
      <c r="D2" s="358"/>
      <c r="E2" s="359"/>
      <c r="F2" s="361"/>
      <c r="G2" s="359"/>
      <c r="H2" s="354" t="s">
        <v>50</v>
      </c>
      <c r="I2" s="373"/>
      <c r="J2" s="373"/>
      <c r="K2" s="373"/>
      <c r="L2" s="373"/>
      <c r="M2" s="373"/>
      <c r="N2" s="373"/>
      <c r="O2" s="373"/>
      <c r="P2" s="373"/>
      <c r="Q2" s="373"/>
      <c r="R2" s="373"/>
      <c r="S2" s="374"/>
      <c r="T2" s="366"/>
      <c r="U2" s="368"/>
      <c r="V2" s="371"/>
    </row>
    <row r="3" spans="1:22" ht="24.75" customHeight="1" thickBot="1" x14ac:dyDescent="0.3">
      <c r="A3" s="349"/>
      <c r="B3" s="352"/>
      <c r="C3" s="355"/>
      <c r="D3" s="4" t="s">
        <v>51</v>
      </c>
      <c r="E3" s="5" t="s">
        <v>52</v>
      </c>
      <c r="F3" s="6" t="s">
        <v>51</v>
      </c>
      <c r="G3" s="5" t="s">
        <v>52</v>
      </c>
      <c r="H3" s="4">
        <v>5</v>
      </c>
      <c r="I3" s="8">
        <v>6</v>
      </c>
      <c r="J3" s="8">
        <v>7</v>
      </c>
      <c r="K3" s="8">
        <v>8</v>
      </c>
      <c r="L3" s="9">
        <v>9</v>
      </c>
      <c r="M3" s="5" t="s">
        <v>53</v>
      </c>
      <c r="N3" s="7">
        <v>5</v>
      </c>
      <c r="O3" s="8">
        <v>6</v>
      </c>
      <c r="P3" s="8">
        <v>7</v>
      </c>
      <c r="Q3" s="8">
        <v>8</v>
      </c>
      <c r="R3" s="9">
        <v>9</v>
      </c>
      <c r="S3" s="10" t="s">
        <v>53</v>
      </c>
      <c r="T3" s="367"/>
      <c r="U3" s="369"/>
      <c r="V3" s="372"/>
    </row>
    <row r="4" spans="1:22" ht="18.75" customHeight="1" thickBot="1" x14ac:dyDescent="0.3">
      <c r="A4" s="11">
        <v>1</v>
      </c>
      <c r="B4" s="12">
        <f>A4+1</f>
        <v>2</v>
      </c>
      <c r="C4" s="13">
        <v>2</v>
      </c>
      <c r="D4" s="14">
        <f t="shared" ref="D4:V4" si="0">C4+1</f>
        <v>3</v>
      </c>
      <c r="E4" s="12">
        <f t="shared" si="0"/>
        <v>4</v>
      </c>
      <c r="F4" s="15">
        <f t="shared" si="0"/>
        <v>5</v>
      </c>
      <c r="G4" s="12">
        <f t="shared" si="0"/>
        <v>6</v>
      </c>
      <c r="H4" s="14">
        <f>S4+1</f>
        <v>9</v>
      </c>
      <c r="I4" s="16">
        <f t="shared" si="0"/>
        <v>10</v>
      </c>
      <c r="J4" s="16">
        <f t="shared" si="0"/>
        <v>11</v>
      </c>
      <c r="K4" s="16">
        <f t="shared" si="0"/>
        <v>12</v>
      </c>
      <c r="L4" s="17">
        <f t="shared" si="0"/>
        <v>13</v>
      </c>
      <c r="M4" s="12">
        <f t="shared" si="0"/>
        <v>14</v>
      </c>
      <c r="N4" s="14">
        <f>C4+1</f>
        <v>3</v>
      </c>
      <c r="O4" s="16">
        <f>N4+1</f>
        <v>4</v>
      </c>
      <c r="P4" s="16">
        <f>O4+1</f>
        <v>5</v>
      </c>
      <c r="Q4" s="16">
        <f>P4+1</f>
        <v>6</v>
      </c>
      <c r="R4" s="17">
        <f>Q4+1</f>
        <v>7</v>
      </c>
      <c r="S4" s="12">
        <f>R4+1</f>
        <v>8</v>
      </c>
      <c r="T4" s="19">
        <f>M4+1</f>
        <v>15</v>
      </c>
      <c r="U4" s="18">
        <f t="shared" si="0"/>
        <v>16</v>
      </c>
      <c r="V4" s="19">
        <f t="shared" si="0"/>
        <v>17</v>
      </c>
    </row>
    <row r="5" spans="1:22" ht="30" customHeight="1" x14ac:dyDescent="0.25">
      <c r="A5" s="20">
        <v>1</v>
      </c>
      <c r="B5" s="21" t="s">
        <v>42</v>
      </c>
      <c r="C5" s="22" t="s">
        <v>11</v>
      </c>
      <c r="D5" s="23"/>
      <c r="E5" s="24"/>
      <c r="F5" s="25"/>
      <c r="G5" s="24"/>
      <c r="H5" s="26">
        <v>0</v>
      </c>
      <c r="I5" s="27">
        <v>0</v>
      </c>
      <c r="J5" s="27">
        <v>0</v>
      </c>
      <c r="K5" s="27">
        <v>0</v>
      </c>
      <c r="L5" s="28">
        <v>0</v>
      </c>
      <c r="M5" s="29">
        <f>H5+I5+J5+K5+L5</f>
        <v>0</v>
      </c>
      <c r="N5" s="26">
        <v>4</v>
      </c>
      <c r="O5" s="27">
        <v>3</v>
      </c>
      <c r="P5" s="27">
        <v>4</v>
      </c>
      <c r="Q5" s="27">
        <v>4</v>
      </c>
      <c r="R5" s="28">
        <v>3</v>
      </c>
      <c r="S5" s="29">
        <f>N5+O5+P5+Q5+R5</f>
        <v>18</v>
      </c>
      <c r="T5" s="31">
        <v>0</v>
      </c>
      <c r="U5" s="30">
        <v>0</v>
      </c>
      <c r="V5" s="32">
        <f>S5+M5</f>
        <v>18</v>
      </c>
    </row>
    <row r="6" spans="1:22" ht="30" customHeight="1" x14ac:dyDescent="0.25">
      <c r="A6" s="33">
        <v>2</v>
      </c>
      <c r="B6" s="34" t="s">
        <v>42</v>
      </c>
      <c r="C6" s="35" t="s">
        <v>12</v>
      </c>
      <c r="D6" s="36"/>
      <c r="E6" s="37"/>
      <c r="F6" s="38"/>
      <c r="G6" s="37"/>
      <c r="H6" s="39">
        <v>0</v>
      </c>
      <c r="I6" s="40">
        <v>0</v>
      </c>
      <c r="J6" s="40">
        <v>0</v>
      </c>
      <c r="K6" s="40">
        <v>1</v>
      </c>
      <c r="L6" s="41">
        <v>1</v>
      </c>
      <c r="M6" s="42">
        <f t="shared" ref="M6:M8" si="1">H6+I6+J6+K6+L6</f>
        <v>2</v>
      </c>
      <c r="N6" s="39">
        <v>4</v>
      </c>
      <c r="O6" s="40">
        <v>4</v>
      </c>
      <c r="P6" s="40">
        <v>5</v>
      </c>
      <c r="Q6" s="40">
        <v>3</v>
      </c>
      <c r="R6" s="41">
        <v>3</v>
      </c>
      <c r="S6" s="42">
        <f t="shared" ref="S6:S8" si="2">N6+O6+P6+Q6+R6</f>
        <v>19</v>
      </c>
      <c r="T6" s="44">
        <v>0</v>
      </c>
      <c r="U6" s="43">
        <v>0</v>
      </c>
      <c r="V6" s="45">
        <f>S6+M6</f>
        <v>21</v>
      </c>
    </row>
    <row r="7" spans="1:22" ht="30" customHeight="1" x14ac:dyDescent="0.25">
      <c r="A7" s="33">
        <v>3</v>
      </c>
      <c r="B7" s="34" t="s">
        <v>42</v>
      </c>
      <c r="C7" s="35" t="s">
        <v>13</v>
      </c>
      <c r="D7" s="36"/>
      <c r="E7" s="37"/>
      <c r="F7" s="38"/>
      <c r="G7" s="37"/>
      <c r="H7" s="39">
        <v>0</v>
      </c>
      <c r="I7" s="40">
        <v>0</v>
      </c>
      <c r="J7" s="40">
        <v>0</v>
      </c>
      <c r="K7" s="40">
        <v>0</v>
      </c>
      <c r="L7" s="41">
        <v>0</v>
      </c>
      <c r="M7" s="42">
        <f t="shared" si="1"/>
        <v>0</v>
      </c>
      <c r="N7" s="39">
        <v>4</v>
      </c>
      <c r="O7" s="40">
        <v>4</v>
      </c>
      <c r="P7" s="40">
        <v>5</v>
      </c>
      <c r="Q7" s="40">
        <v>4</v>
      </c>
      <c r="R7" s="41">
        <v>4</v>
      </c>
      <c r="S7" s="42">
        <f t="shared" si="2"/>
        <v>21</v>
      </c>
      <c r="T7" s="44">
        <v>0</v>
      </c>
      <c r="U7" s="43">
        <v>0</v>
      </c>
      <c r="V7" s="45">
        <f>S7+M7</f>
        <v>21</v>
      </c>
    </row>
    <row r="8" spans="1:22" s="59" customFormat="1" ht="30" customHeight="1" thickBot="1" x14ac:dyDescent="0.3">
      <c r="A8" s="46"/>
      <c r="B8" s="47" t="s">
        <v>42</v>
      </c>
      <c r="C8" s="48" t="s">
        <v>19</v>
      </c>
      <c r="D8" s="49"/>
      <c r="E8" s="50"/>
      <c r="F8" s="51"/>
      <c r="G8" s="50"/>
      <c r="H8" s="56">
        <f>SUM(H5:H7)</f>
        <v>0</v>
      </c>
      <c r="I8" s="53">
        <f>SUM(I5:I7)</f>
        <v>0</v>
      </c>
      <c r="J8" s="53">
        <f>SUM(J5:J7)</f>
        <v>0</v>
      </c>
      <c r="K8" s="53">
        <f>SUM(K5:K7)</f>
        <v>1</v>
      </c>
      <c r="L8" s="54">
        <f>SUM(L5:L7)</f>
        <v>1</v>
      </c>
      <c r="M8" s="55">
        <f t="shared" si="1"/>
        <v>2</v>
      </c>
      <c r="N8" s="52">
        <f>SUM(N5:N7)</f>
        <v>12</v>
      </c>
      <c r="O8" s="53">
        <f>SUM(O5:O7)</f>
        <v>11</v>
      </c>
      <c r="P8" s="53">
        <f>SUM(P5:P7)</f>
        <v>14</v>
      </c>
      <c r="Q8" s="53">
        <f>SUM(Q5:Q7)</f>
        <v>11</v>
      </c>
      <c r="R8" s="54">
        <f>SUM(R5:R7)</f>
        <v>10</v>
      </c>
      <c r="S8" s="55">
        <f t="shared" si="2"/>
        <v>58</v>
      </c>
      <c r="T8" s="57">
        <f>SUM(T5:T7)</f>
        <v>0</v>
      </c>
      <c r="U8" s="56">
        <f>SUM(U5:U7)</f>
        <v>0</v>
      </c>
      <c r="V8" s="58">
        <f>S8+M8</f>
        <v>60</v>
      </c>
    </row>
  </sheetData>
  <mergeCells count="11">
    <mergeCell ref="H1:M1"/>
    <mergeCell ref="T1:T3"/>
    <mergeCell ref="U1:U3"/>
    <mergeCell ref="V1:V3"/>
    <mergeCell ref="H2:S2"/>
    <mergeCell ref="N1:S1"/>
    <mergeCell ref="A1:A3"/>
    <mergeCell ref="B1:B3"/>
    <mergeCell ref="C1:C3"/>
    <mergeCell ref="D1:E2"/>
    <mergeCell ref="F1:G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X17"/>
  <sheetViews>
    <sheetView workbookViewId="0">
      <selection activeCell="E34" sqref="E34"/>
    </sheetView>
  </sheetViews>
  <sheetFormatPr baseColWidth="10" defaultRowHeight="13.2" x14ac:dyDescent="0.25"/>
  <sheetData>
    <row r="2" spans="2:14" x14ac:dyDescent="0.25">
      <c r="B2" s="62"/>
      <c r="C2" s="62"/>
      <c r="D2" s="62"/>
      <c r="E2" s="62"/>
      <c r="F2" s="62"/>
      <c r="G2" s="62"/>
      <c r="H2" s="62"/>
      <c r="I2" s="62"/>
      <c r="J2" s="62"/>
      <c r="K2" s="62"/>
      <c r="L2" s="61"/>
      <c r="M2" s="62"/>
      <c r="N2" s="62"/>
    </row>
    <row r="3" spans="2:14" x14ac:dyDescent="0.25"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</row>
    <row r="4" spans="2:14" x14ac:dyDescent="0.25"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</row>
    <row r="5" spans="2:14" x14ac:dyDescent="0.25"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</row>
    <row r="6" spans="2:14" x14ac:dyDescent="0.25"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</row>
    <row r="7" spans="2:14" x14ac:dyDescent="0.25"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</row>
    <row r="8" spans="2:14" x14ac:dyDescent="0.25"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</row>
    <row r="9" spans="2:14" x14ac:dyDescent="0.25"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</row>
    <row r="10" spans="2:14" x14ac:dyDescent="0.25"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</row>
    <row r="11" spans="2:14" x14ac:dyDescent="0.25"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</row>
    <row r="12" spans="2:14" x14ac:dyDescent="0.25"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</row>
    <row r="13" spans="2:14" x14ac:dyDescent="0.25">
      <c r="B13" s="61"/>
      <c r="C13" s="61"/>
      <c r="D13" s="62"/>
      <c r="E13" s="62"/>
      <c r="F13" s="61"/>
      <c r="G13" s="62"/>
      <c r="H13" s="62"/>
      <c r="I13" s="61"/>
      <c r="J13" s="61"/>
      <c r="K13" s="62"/>
      <c r="L13" s="61"/>
      <c r="M13" s="61"/>
      <c r="N13" s="62"/>
    </row>
    <row r="17" spans="2:24" x14ac:dyDescent="0.25">
      <c r="B17" s="61"/>
      <c r="C17" s="62"/>
      <c r="D17" s="62"/>
      <c r="E17" s="61"/>
      <c r="F17" s="62"/>
      <c r="G17" s="62"/>
      <c r="H17" s="61"/>
      <c r="I17" s="62"/>
      <c r="J17" s="62"/>
      <c r="K17" s="61"/>
      <c r="L17" s="62"/>
      <c r="M17" s="62"/>
      <c r="N17" s="61"/>
      <c r="O17" s="62"/>
      <c r="P17" s="62"/>
      <c r="Q17" s="62"/>
      <c r="R17" s="62"/>
      <c r="S17" s="62"/>
      <c r="T17" s="61"/>
      <c r="U17" s="61"/>
      <c r="V17" s="62"/>
      <c r="W17" s="62"/>
      <c r="X17" s="62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3</vt:i4>
      </vt:variant>
    </vt:vector>
  </HeadingPairs>
  <TitlesOfParts>
    <vt:vector size="7" baseType="lpstr">
      <vt:lpstr>Sek_1</vt:lpstr>
      <vt:lpstr>Sek_2</vt:lpstr>
      <vt:lpstr>Tabelle1</vt:lpstr>
      <vt:lpstr>Tabelle2</vt:lpstr>
      <vt:lpstr>Sek_2!Druckbereich</vt:lpstr>
      <vt:lpstr>Sek_1!Drucktitel</vt:lpstr>
      <vt:lpstr>Sek_2!Drucktitel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Schulamt</dc:creator>
  <cp:lastModifiedBy>Thomas Werner</cp:lastModifiedBy>
  <cp:lastPrinted>2021-11-22T08:06:22Z</cp:lastPrinted>
  <dcterms:created xsi:type="dcterms:W3CDTF">2010-09-27T09:52:49Z</dcterms:created>
  <dcterms:modified xsi:type="dcterms:W3CDTF">2022-09-19T12:32:52Z</dcterms:modified>
</cp:coreProperties>
</file>