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.stadt-muenster.de\ds\0000\D18\18_01\3_DIGITALISIERUNG\Open-Data\Fachämter-Datensätze\40-Schule-und-Weiterbildung\Schulstatistik\veröffentlicht\"/>
    </mc:Choice>
  </mc:AlternateContent>
  <bookViews>
    <workbookView xWindow="240" yWindow="120" windowWidth="18780" windowHeight="12660"/>
  </bookViews>
  <sheets>
    <sheet name="Grundschulen" sheetId="7" r:id="rId1"/>
  </sheets>
  <definedNames>
    <definedName name="_xlnm._FilterDatabase" localSheetId="0" hidden="1">Grundschulen!$A$3:$W$120</definedName>
    <definedName name="_xlnm.Print_Area" localSheetId="0">Grundschulen!$B$627:$W$682</definedName>
    <definedName name="_xlnm.Print_Titles" localSheetId="0">Grundschulen!$1:$6</definedName>
  </definedNames>
  <calcPr calcId="162913"/>
</workbook>
</file>

<file path=xl/calcChain.xml><?xml version="1.0" encoding="utf-8"?>
<calcChain xmlns="http://schemas.openxmlformats.org/spreadsheetml/2006/main">
  <c r="L681" i="7" l="1"/>
  <c r="K681" i="7"/>
  <c r="I681" i="7"/>
  <c r="H681" i="7"/>
  <c r="G681" i="7"/>
  <c r="K676" i="7"/>
  <c r="J676" i="7"/>
  <c r="K675" i="7"/>
  <c r="J675" i="7"/>
  <c r="J681" i="7" s="1"/>
  <c r="L674" i="7"/>
  <c r="I674" i="7"/>
  <c r="H674" i="7"/>
  <c r="G674" i="7"/>
  <c r="K673" i="7"/>
  <c r="K674" i="7" s="1"/>
  <c r="J673" i="7"/>
  <c r="J674" i="7" s="1"/>
  <c r="L668" i="7"/>
  <c r="K668" i="7"/>
  <c r="I668" i="7"/>
  <c r="H668" i="7"/>
  <c r="G668" i="7"/>
  <c r="K665" i="7"/>
  <c r="J665" i="7"/>
  <c r="K663" i="7"/>
  <c r="J663" i="7"/>
  <c r="J668" i="7" s="1"/>
  <c r="L662" i="7"/>
  <c r="I662" i="7"/>
  <c r="H662" i="7"/>
  <c r="G662" i="7"/>
  <c r="K661" i="7"/>
  <c r="J661" i="7"/>
  <c r="K660" i="7"/>
  <c r="J660" i="7"/>
  <c r="K657" i="7"/>
  <c r="J657" i="7"/>
  <c r="K656" i="7"/>
  <c r="J656" i="7"/>
  <c r="L655" i="7"/>
  <c r="I655" i="7"/>
  <c r="H655" i="7"/>
  <c r="G655" i="7"/>
  <c r="K654" i="7"/>
  <c r="J654" i="7"/>
  <c r="K653" i="7"/>
  <c r="K652" i="7"/>
  <c r="J652" i="7"/>
  <c r="K651" i="7"/>
  <c r="K650" i="7"/>
  <c r="J650" i="7"/>
  <c r="K649" i="7"/>
  <c r="J649" i="7"/>
  <c r="L645" i="7"/>
  <c r="I645" i="7"/>
  <c r="H645" i="7"/>
  <c r="G645" i="7"/>
  <c r="K644" i="7"/>
  <c r="J644" i="7"/>
  <c r="K643" i="7"/>
  <c r="J643" i="7"/>
  <c r="K642" i="7"/>
  <c r="J642" i="7"/>
  <c r="K641" i="7"/>
  <c r="J641" i="7"/>
  <c r="L640" i="7"/>
  <c r="I640" i="7"/>
  <c r="H640" i="7"/>
  <c r="G640" i="7"/>
  <c r="K639" i="7"/>
  <c r="K638" i="7"/>
  <c r="K640" i="7" s="1"/>
  <c r="J638" i="7"/>
  <c r="J636" i="7"/>
  <c r="L635" i="7"/>
  <c r="I635" i="7"/>
  <c r="H635" i="7"/>
  <c r="G635" i="7"/>
  <c r="K634" i="7"/>
  <c r="J634" i="7"/>
  <c r="J633" i="7"/>
  <c r="K631" i="7"/>
  <c r="K635" i="7" s="1"/>
  <c r="J631" i="7"/>
  <c r="J630" i="7"/>
  <c r="L629" i="7"/>
  <c r="I629" i="7"/>
  <c r="H629" i="7"/>
  <c r="G629" i="7"/>
  <c r="K628" i="7"/>
  <c r="K629" i="7" s="1"/>
  <c r="J628" i="7"/>
  <c r="J629" i="7" s="1"/>
  <c r="J640" i="7" l="1"/>
  <c r="J645" i="7"/>
  <c r="K662" i="7"/>
  <c r="K645" i="7"/>
  <c r="K646" i="7" s="1"/>
  <c r="K682" i="7" s="1"/>
  <c r="I646" i="7"/>
  <c r="H646" i="7"/>
  <c r="H682" i="7" s="1"/>
  <c r="G646" i="7"/>
  <c r="G682" i="7" s="1"/>
  <c r="K655" i="7"/>
  <c r="I682" i="7"/>
  <c r="J662" i="7"/>
  <c r="L646" i="7"/>
  <c r="L682" i="7" s="1"/>
  <c r="J655" i="7"/>
  <c r="J635" i="7"/>
  <c r="V645" i="7"/>
  <c r="U645" i="7"/>
  <c r="O674" i="7"/>
  <c r="N674" i="7"/>
  <c r="M674" i="7"/>
  <c r="J646" i="7" l="1"/>
  <c r="J682" i="7" s="1"/>
  <c r="V681" i="7"/>
  <c r="U681" i="7"/>
  <c r="R681" i="7"/>
  <c r="Q681" i="7"/>
  <c r="P681" i="7"/>
  <c r="O681" i="7"/>
  <c r="N681" i="7"/>
  <c r="M681" i="7"/>
  <c r="W680" i="7"/>
  <c r="T680" i="7"/>
  <c r="S680" i="7"/>
  <c r="W679" i="7"/>
  <c r="T679" i="7"/>
  <c r="S679" i="7"/>
  <c r="W678" i="7"/>
  <c r="T678" i="7"/>
  <c r="S678" i="7"/>
  <c r="W677" i="7"/>
  <c r="T677" i="7"/>
  <c r="S677" i="7"/>
  <c r="W676" i="7"/>
  <c r="W675" i="7"/>
  <c r="T675" i="7"/>
  <c r="S675" i="7"/>
  <c r="V674" i="7"/>
  <c r="U674" i="7"/>
  <c r="R674" i="7"/>
  <c r="Q674" i="7"/>
  <c r="P674" i="7"/>
  <c r="W673" i="7"/>
  <c r="T673" i="7"/>
  <c r="S673" i="7"/>
  <c r="W672" i="7"/>
  <c r="T672" i="7"/>
  <c r="S672" i="7"/>
  <c r="W671" i="7"/>
  <c r="T671" i="7"/>
  <c r="S671" i="7"/>
  <c r="W670" i="7"/>
  <c r="T670" i="7"/>
  <c r="W669" i="7"/>
  <c r="T669" i="7"/>
  <c r="S669" i="7"/>
  <c r="V668" i="7"/>
  <c r="U668" i="7"/>
  <c r="R668" i="7"/>
  <c r="Q668" i="7"/>
  <c r="P668" i="7"/>
  <c r="O668" i="7"/>
  <c r="N668" i="7"/>
  <c r="M668" i="7"/>
  <c r="W667" i="7"/>
  <c r="T667" i="7"/>
  <c r="S667" i="7"/>
  <c r="W666" i="7"/>
  <c r="T666" i="7"/>
  <c r="S666" i="7"/>
  <c r="W665" i="7"/>
  <c r="W664" i="7"/>
  <c r="T664" i="7"/>
  <c r="S664" i="7"/>
  <c r="W663" i="7"/>
  <c r="T663" i="7"/>
  <c r="S663" i="7"/>
  <c r="V662" i="7"/>
  <c r="U662" i="7"/>
  <c r="R662" i="7"/>
  <c r="Q662" i="7"/>
  <c r="P662" i="7"/>
  <c r="O662" i="7"/>
  <c r="N662" i="7"/>
  <c r="M662" i="7"/>
  <c r="W661" i="7"/>
  <c r="T661" i="7"/>
  <c r="S661" i="7"/>
  <c r="W660" i="7"/>
  <c r="T660" i="7"/>
  <c r="S660" i="7"/>
  <c r="W659" i="7"/>
  <c r="T659" i="7"/>
  <c r="S659" i="7"/>
  <c r="W658" i="7"/>
  <c r="T658" i="7"/>
  <c r="S658" i="7"/>
  <c r="W657" i="7"/>
  <c r="T657" i="7"/>
  <c r="S657" i="7"/>
  <c r="W656" i="7"/>
  <c r="T656" i="7"/>
  <c r="V655" i="7"/>
  <c r="U655" i="7"/>
  <c r="R655" i="7"/>
  <c r="Q655" i="7"/>
  <c r="P655" i="7"/>
  <c r="O655" i="7"/>
  <c r="N655" i="7"/>
  <c r="M655" i="7"/>
  <c r="W654" i="7"/>
  <c r="T654" i="7"/>
  <c r="S654" i="7"/>
  <c r="W653" i="7"/>
  <c r="T653" i="7"/>
  <c r="S653" i="7"/>
  <c r="W652" i="7"/>
  <c r="T652" i="7"/>
  <c r="S652" i="7"/>
  <c r="W651" i="7"/>
  <c r="T651" i="7"/>
  <c r="S651" i="7"/>
  <c r="W650" i="7"/>
  <c r="T650" i="7"/>
  <c r="S650" i="7"/>
  <c r="W649" i="7"/>
  <c r="S649" i="7"/>
  <c r="W648" i="7"/>
  <c r="T648" i="7"/>
  <c r="S648" i="7"/>
  <c r="W647" i="7"/>
  <c r="T647" i="7"/>
  <c r="S647" i="7"/>
  <c r="R645" i="7"/>
  <c r="Q645" i="7"/>
  <c r="P645" i="7"/>
  <c r="O645" i="7"/>
  <c r="N645" i="7"/>
  <c r="M645" i="7"/>
  <c r="W644" i="7"/>
  <c r="W643" i="7"/>
  <c r="T643" i="7"/>
  <c r="S643" i="7"/>
  <c r="W642" i="7"/>
  <c r="T642" i="7"/>
  <c r="S642" i="7"/>
  <c r="W641" i="7"/>
  <c r="T641" i="7"/>
  <c r="S641" i="7"/>
  <c r="V640" i="7"/>
  <c r="U640" i="7"/>
  <c r="R640" i="7"/>
  <c r="O640" i="7"/>
  <c r="W639" i="7"/>
  <c r="T639" i="7"/>
  <c r="S639" i="7"/>
  <c r="W638" i="7"/>
  <c r="Q640" i="7"/>
  <c r="P640" i="7"/>
  <c r="N640" i="7"/>
  <c r="M640" i="7"/>
  <c r="W637" i="7"/>
  <c r="T637" i="7"/>
  <c r="S637" i="7"/>
  <c r="W636" i="7"/>
  <c r="T636" i="7"/>
  <c r="S636" i="7"/>
  <c r="V635" i="7"/>
  <c r="U635" i="7"/>
  <c r="R635" i="7"/>
  <c r="Q635" i="7"/>
  <c r="P635" i="7"/>
  <c r="O635" i="7"/>
  <c r="N635" i="7"/>
  <c r="M635" i="7"/>
  <c r="W634" i="7"/>
  <c r="T634" i="7"/>
  <c r="S634" i="7"/>
  <c r="W633" i="7"/>
  <c r="T633" i="7"/>
  <c r="S633" i="7"/>
  <c r="W632" i="7"/>
  <c r="T632" i="7"/>
  <c r="S632" i="7"/>
  <c r="W631" i="7"/>
  <c r="T631" i="7"/>
  <c r="W630" i="7"/>
  <c r="T630" i="7"/>
  <c r="S630" i="7"/>
  <c r="V629" i="7"/>
  <c r="U629" i="7"/>
  <c r="R629" i="7"/>
  <c r="O629" i="7"/>
  <c r="W628" i="7"/>
  <c r="T628" i="7"/>
  <c r="S628" i="7"/>
  <c r="W627" i="7"/>
  <c r="Q629" i="7"/>
  <c r="P629" i="7"/>
  <c r="N629" i="7"/>
  <c r="M629" i="7"/>
  <c r="W655" i="7" l="1"/>
  <c r="W662" i="7"/>
  <c r="W681" i="7"/>
  <c r="N646" i="7"/>
  <c r="N682" i="7" s="1"/>
  <c r="M646" i="7"/>
  <c r="M682" i="7" s="1"/>
  <c r="W635" i="7"/>
  <c r="T635" i="7"/>
  <c r="O646" i="7"/>
  <c r="O682" i="7" s="1"/>
  <c r="T649" i="7"/>
  <c r="T655" i="7"/>
  <c r="S655" i="7"/>
  <c r="T665" i="7"/>
  <c r="Q646" i="7"/>
  <c r="Q682" i="7" s="1"/>
  <c r="S662" i="7"/>
  <c r="W668" i="7"/>
  <c r="S668" i="7"/>
  <c r="T674" i="7"/>
  <c r="T627" i="7"/>
  <c r="T629" i="7" s="1"/>
  <c r="R646" i="7"/>
  <c r="R682" i="7" s="1"/>
  <c r="V646" i="7"/>
  <c r="V682" i="7" s="1"/>
  <c r="W640" i="7"/>
  <c r="U646" i="7"/>
  <c r="U682" i="7" s="1"/>
  <c r="S674" i="7"/>
  <c r="W674" i="7"/>
  <c r="S638" i="7"/>
  <c r="S640" i="7" s="1"/>
  <c r="S644" i="7"/>
  <c r="S645" i="7" s="1"/>
  <c r="S670" i="7"/>
  <c r="W629" i="7"/>
  <c r="P646" i="7"/>
  <c r="W645" i="7"/>
  <c r="S656" i="7"/>
  <c r="T668" i="7"/>
  <c r="S676" i="7"/>
  <c r="S627" i="7"/>
  <c r="S629" i="7" s="1"/>
  <c r="S631" i="7"/>
  <c r="S635" i="7" s="1"/>
  <c r="T638" i="7"/>
  <c r="T640" i="7" s="1"/>
  <c r="T644" i="7"/>
  <c r="T645" i="7" s="1"/>
  <c r="S665" i="7"/>
  <c r="T676" i="7"/>
  <c r="T681" i="7" s="1"/>
  <c r="G624" i="7"/>
  <c r="H624" i="7"/>
  <c r="I624" i="7"/>
  <c r="L624" i="7"/>
  <c r="M624" i="7"/>
  <c r="N624" i="7"/>
  <c r="O624" i="7"/>
  <c r="P624" i="7"/>
  <c r="Q624" i="7"/>
  <c r="R624" i="7"/>
  <c r="U624" i="7"/>
  <c r="V624" i="7"/>
  <c r="H623" i="7"/>
  <c r="I623" i="7"/>
  <c r="L623" i="7"/>
  <c r="M623" i="7"/>
  <c r="N623" i="7"/>
  <c r="O623" i="7"/>
  <c r="P623" i="7"/>
  <c r="Q623" i="7"/>
  <c r="R623" i="7"/>
  <c r="U623" i="7"/>
  <c r="V623" i="7"/>
  <c r="G623" i="7"/>
  <c r="W620" i="7"/>
  <c r="T620" i="7"/>
  <c r="S620" i="7"/>
  <c r="T646" i="7" l="1"/>
  <c r="W646" i="7"/>
  <c r="W682" i="7" s="1"/>
  <c r="T662" i="7"/>
  <c r="S646" i="7"/>
  <c r="P682" i="7"/>
  <c r="S681" i="7"/>
  <c r="S619" i="7"/>
  <c r="K617" i="7"/>
  <c r="J617" i="7"/>
  <c r="L615" i="7"/>
  <c r="K611" i="7"/>
  <c r="K615" i="7" s="1"/>
  <c r="J611" i="7"/>
  <c r="J615" i="7" s="1"/>
  <c r="K606" i="7"/>
  <c r="J606" i="7"/>
  <c r="K602" i="7"/>
  <c r="J602" i="7"/>
  <c r="K601" i="7"/>
  <c r="J601" i="7"/>
  <c r="K598" i="7"/>
  <c r="J598" i="7"/>
  <c r="K597" i="7"/>
  <c r="J597" i="7"/>
  <c r="K590" i="7"/>
  <c r="J590" i="7"/>
  <c r="K585" i="7"/>
  <c r="J585" i="7"/>
  <c r="G572" i="7"/>
  <c r="H572" i="7"/>
  <c r="U570" i="7"/>
  <c r="V570" i="7"/>
  <c r="Q568" i="7"/>
  <c r="P568" i="7"/>
  <c r="N568" i="7"/>
  <c r="M568" i="7"/>
  <c r="K568" i="7"/>
  <c r="H568" i="7"/>
  <c r="J568" i="7"/>
  <c r="G568" i="7"/>
  <c r="T682" i="7" l="1"/>
  <c r="S682" i="7"/>
  <c r="K624" i="7"/>
  <c r="K623" i="7"/>
  <c r="J624" i="7"/>
  <c r="J623" i="7"/>
  <c r="K579" i="7"/>
  <c r="J579" i="7"/>
  <c r="H579" i="7"/>
  <c r="G579" i="7"/>
  <c r="Q579" i="7"/>
  <c r="P579" i="7"/>
  <c r="N579" i="7"/>
  <c r="M579" i="7"/>
  <c r="W622" i="7" l="1"/>
  <c r="T622" i="7"/>
  <c r="S622" i="7"/>
  <c r="W621" i="7"/>
  <c r="T621" i="7"/>
  <c r="S621" i="7"/>
  <c r="W619" i="7"/>
  <c r="T619" i="7"/>
  <c r="W618" i="7"/>
  <c r="T618" i="7"/>
  <c r="S618" i="7"/>
  <c r="W617" i="7"/>
  <c r="W616" i="7"/>
  <c r="T616" i="7"/>
  <c r="S616" i="7"/>
  <c r="V615" i="7"/>
  <c r="U615" i="7"/>
  <c r="R615" i="7"/>
  <c r="Q615" i="7"/>
  <c r="P615" i="7"/>
  <c r="O615" i="7"/>
  <c r="N615" i="7"/>
  <c r="M615" i="7"/>
  <c r="I615" i="7"/>
  <c r="H615" i="7"/>
  <c r="G615" i="7"/>
  <c r="W614" i="7"/>
  <c r="T614" i="7"/>
  <c r="S614" i="7"/>
  <c r="W613" i="7"/>
  <c r="T613" i="7"/>
  <c r="S613" i="7"/>
  <c r="W612" i="7"/>
  <c r="T612" i="7"/>
  <c r="S612" i="7"/>
  <c r="W611" i="7"/>
  <c r="T611" i="7"/>
  <c r="S611" i="7"/>
  <c r="W610" i="7"/>
  <c r="T610" i="7"/>
  <c r="S610" i="7"/>
  <c r="V609" i="7"/>
  <c r="U609" i="7"/>
  <c r="R609" i="7"/>
  <c r="Q609" i="7"/>
  <c r="P609" i="7"/>
  <c r="O609" i="7"/>
  <c r="N609" i="7"/>
  <c r="M609" i="7"/>
  <c r="L609" i="7"/>
  <c r="I609" i="7"/>
  <c r="H609" i="7"/>
  <c r="G609" i="7"/>
  <c r="W608" i="7"/>
  <c r="T608" i="7"/>
  <c r="S608" i="7"/>
  <c r="W607" i="7"/>
  <c r="T607" i="7"/>
  <c r="S607" i="7"/>
  <c r="W606" i="7"/>
  <c r="K609" i="7"/>
  <c r="J609" i="7"/>
  <c r="W605" i="7"/>
  <c r="T605" i="7"/>
  <c r="S605" i="7"/>
  <c r="W604" i="7"/>
  <c r="T604" i="7"/>
  <c r="S604" i="7"/>
  <c r="V603" i="7"/>
  <c r="U603" i="7"/>
  <c r="R603" i="7"/>
  <c r="Q603" i="7"/>
  <c r="P603" i="7"/>
  <c r="O603" i="7"/>
  <c r="N603" i="7"/>
  <c r="M603" i="7"/>
  <c r="L603" i="7"/>
  <c r="I603" i="7"/>
  <c r="H603" i="7"/>
  <c r="G603" i="7"/>
  <c r="W602" i="7"/>
  <c r="T602" i="7"/>
  <c r="S602" i="7"/>
  <c r="W601" i="7"/>
  <c r="T601" i="7"/>
  <c r="S601" i="7"/>
  <c r="W600" i="7"/>
  <c r="T600" i="7"/>
  <c r="S600" i="7"/>
  <c r="W599" i="7"/>
  <c r="T599" i="7"/>
  <c r="S599" i="7"/>
  <c r="W598" i="7"/>
  <c r="K603" i="7"/>
  <c r="S598" i="7"/>
  <c r="W597" i="7"/>
  <c r="T597" i="7"/>
  <c r="S597" i="7"/>
  <c r="V596" i="7"/>
  <c r="U596" i="7"/>
  <c r="R596" i="7"/>
  <c r="Q596" i="7"/>
  <c r="P596" i="7"/>
  <c r="O596" i="7"/>
  <c r="N596" i="7"/>
  <c r="M596" i="7"/>
  <c r="L596" i="7"/>
  <c r="J596" i="7"/>
  <c r="I596" i="7"/>
  <c r="H596" i="7"/>
  <c r="G596" i="7"/>
  <c r="W595" i="7"/>
  <c r="T595" i="7"/>
  <c r="S595" i="7"/>
  <c r="W594" i="7"/>
  <c r="T594" i="7"/>
  <c r="S594" i="7"/>
  <c r="W593" i="7"/>
  <c r="T593" i="7"/>
  <c r="S593" i="7"/>
  <c r="W592" i="7"/>
  <c r="T592" i="7"/>
  <c r="S592" i="7"/>
  <c r="W591" i="7"/>
  <c r="T591" i="7"/>
  <c r="S591" i="7"/>
  <c r="W590" i="7"/>
  <c r="T590" i="7"/>
  <c r="S590" i="7"/>
  <c r="W589" i="7"/>
  <c r="T589" i="7"/>
  <c r="S589" i="7"/>
  <c r="W588" i="7"/>
  <c r="T588" i="7"/>
  <c r="S588" i="7"/>
  <c r="V586" i="7"/>
  <c r="U586" i="7"/>
  <c r="R586" i="7"/>
  <c r="Q586" i="7"/>
  <c r="P586" i="7"/>
  <c r="O586" i="7"/>
  <c r="N586" i="7"/>
  <c r="M586" i="7"/>
  <c r="L586" i="7"/>
  <c r="I586" i="7"/>
  <c r="H586" i="7"/>
  <c r="G586" i="7"/>
  <c r="W585" i="7"/>
  <c r="K586" i="7"/>
  <c r="S585" i="7"/>
  <c r="W584" i="7"/>
  <c r="T584" i="7"/>
  <c r="S584" i="7"/>
  <c r="W583" i="7"/>
  <c r="T583" i="7"/>
  <c r="S583" i="7"/>
  <c r="W582" i="7"/>
  <c r="T582" i="7"/>
  <c r="S582" i="7"/>
  <c r="V581" i="7"/>
  <c r="U581" i="7"/>
  <c r="R581" i="7"/>
  <c r="Q581" i="7"/>
  <c r="P581" i="7"/>
  <c r="O581" i="7"/>
  <c r="N581" i="7"/>
  <c r="M581" i="7"/>
  <c r="L581" i="7"/>
  <c r="K581" i="7"/>
  <c r="I581" i="7"/>
  <c r="H581" i="7"/>
  <c r="G581" i="7"/>
  <c r="W580" i="7"/>
  <c r="T580" i="7"/>
  <c r="S580" i="7"/>
  <c r="W579" i="7"/>
  <c r="T579" i="7"/>
  <c r="S579" i="7"/>
  <c r="W578" i="7"/>
  <c r="T578" i="7"/>
  <c r="S578" i="7"/>
  <c r="W577" i="7"/>
  <c r="T577" i="7"/>
  <c r="S577" i="7"/>
  <c r="V576" i="7"/>
  <c r="U576" i="7"/>
  <c r="R576" i="7"/>
  <c r="Q576" i="7"/>
  <c r="P576" i="7"/>
  <c r="O576" i="7"/>
  <c r="N576" i="7"/>
  <c r="M576" i="7"/>
  <c r="L576" i="7"/>
  <c r="J576" i="7"/>
  <c r="I576" i="7"/>
  <c r="H576" i="7"/>
  <c r="G576" i="7"/>
  <c r="W575" i="7"/>
  <c r="T575" i="7"/>
  <c r="S575" i="7"/>
  <c r="W574" i="7"/>
  <c r="T574" i="7"/>
  <c r="S574" i="7"/>
  <c r="W573" i="7"/>
  <c r="T573" i="7"/>
  <c r="S573" i="7"/>
  <c r="W572" i="7"/>
  <c r="T572" i="7"/>
  <c r="S572" i="7"/>
  <c r="W571" i="7"/>
  <c r="T571" i="7"/>
  <c r="S571" i="7"/>
  <c r="R570" i="7"/>
  <c r="P570" i="7"/>
  <c r="O570" i="7"/>
  <c r="L570" i="7"/>
  <c r="J570" i="7"/>
  <c r="I570" i="7"/>
  <c r="W569" i="7"/>
  <c r="T569" i="7"/>
  <c r="S569" i="7"/>
  <c r="W568" i="7"/>
  <c r="Q570" i="7"/>
  <c r="N570" i="7"/>
  <c r="M570" i="7"/>
  <c r="K570" i="7"/>
  <c r="H570" i="7"/>
  <c r="G570" i="7"/>
  <c r="S581" i="7" l="1"/>
  <c r="W570" i="7"/>
  <c r="W624" i="7"/>
  <c r="W623" i="7"/>
  <c r="T615" i="7"/>
  <c r="W609" i="7"/>
  <c r="W581" i="7"/>
  <c r="T609" i="7"/>
  <c r="W603" i="7"/>
  <c r="W596" i="7"/>
  <c r="S596" i="7"/>
  <c r="W586" i="7"/>
  <c r="T581" i="7"/>
  <c r="U587" i="7"/>
  <c r="S576" i="7"/>
  <c r="W576" i="7"/>
  <c r="T576" i="7"/>
  <c r="I587" i="7"/>
  <c r="O587" i="7"/>
  <c r="W615" i="7"/>
  <c r="G587" i="7"/>
  <c r="M587" i="7"/>
  <c r="H587" i="7"/>
  <c r="N587" i="7"/>
  <c r="Q587" i="7"/>
  <c r="S586" i="7"/>
  <c r="T603" i="7"/>
  <c r="S609" i="7"/>
  <c r="T568" i="7"/>
  <c r="T570" i="7" s="1"/>
  <c r="J586" i="7"/>
  <c r="S568" i="7"/>
  <c r="S570" i="7" s="1"/>
  <c r="K576" i="7"/>
  <c r="K587" i="7" s="1"/>
  <c r="J581" i="7"/>
  <c r="T585" i="7"/>
  <c r="T586" i="7" s="1"/>
  <c r="L587" i="7"/>
  <c r="P587" i="7"/>
  <c r="R587" i="7"/>
  <c r="V587" i="7"/>
  <c r="K596" i="7"/>
  <c r="T596" i="7" s="1"/>
  <c r="J603" i="7"/>
  <c r="S603" i="7" s="1"/>
  <c r="S606" i="7"/>
  <c r="S615" i="7"/>
  <c r="T617" i="7"/>
  <c r="T623" i="7" s="1"/>
  <c r="T598" i="7"/>
  <c r="T606" i="7"/>
  <c r="S617" i="7"/>
  <c r="S624" i="7" s="1"/>
  <c r="V566" i="7"/>
  <c r="U566" i="7"/>
  <c r="K561" i="7"/>
  <c r="J561" i="7"/>
  <c r="V559" i="7"/>
  <c r="U559" i="7"/>
  <c r="I559" i="7"/>
  <c r="H559" i="7"/>
  <c r="G559" i="7"/>
  <c r="K555" i="7"/>
  <c r="J555" i="7"/>
  <c r="K550" i="7"/>
  <c r="J550" i="7"/>
  <c r="K546" i="7"/>
  <c r="J546" i="7"/>
  <c r="W587" i="7" l="1"/>
  <c r="W626" i="7" s="1"/>
  <c r="P625" i="7"/>
  <c r="P626" i="7"/>
  <c r="K626" i="7"/>
  <c r="K625" i="7"/>
  <c r="N625" i="7"/>
  <c r="N626" i="7"/>
  <c r="M626" i="7"/>
  <c r="M625" i="7"/>
  <c r="I626" i="7"/>
  <c r="I625" i="7"/>
  <c r="U626" i="7"/>
  <c r="U625" i="7"/>
  <c r="V625" i="7"/>
  <c r="V626" i="7"/>
  <c r="R625" i="7"/>
  <c r="R626" i="7"/>
  <c r="L625" i="7"/>
  <c r="L626" i="7"/>
  <c r="S587" i="7"/>
  <c r="Q626" i="7"/>
  <c r="Q625" i="7"/>
  <c r="H625" i="7"/>
  <c r="H626" i="7"/>
  <c r="G625" i="7"/>
  <c r="G626" i="7"/>
  <c r="O626" i="7"/>
  <c r="O625" i="7"/>
  <c r="T624" i="7"/>
  <c r="S623" i="7"/>
  <c r="J587" i="7"/>
  <c r="T587" i="7"/>
  <c r="K545" i="7"/>
  <c r="J545" i="7"/>
  <c r="K542" i="7"/>
  <c r="J542" i="7"/>
  <c r="K541" i="7"/>
  <c r="J541" i="7"/>
  <c r="K534" i="7"/>
  <c r="J534" i="7"/>
  <c r="K529" i="7"/>
  <c r="J529" i="7"/>
  <c r="K523" i="7"/>
  <c r="J523" i="7"/>
  <c r="S522" i="7"/>
  <c r="S523" i="7"/>
  <c r="S524" i="7"/>
  <c r="S521" i="7"/>
  <c r="K516" i="7"/>
  <c r="J516" i="7"/>
  <c r="W625" i="7" l="1"/>
  <c r="J625" i="7"/>
  <c r="J626" i="7"/>
  <c r="T625" i="7"/>
  <c r="T626" i="7"/>
  <c r="S626" i="7"/>
  <c r="S625" i="7"/>
  <c r="Q512" i="7"/>
  <c r="P512" i="7"/>
  <c r="N512" i="7"/>
  <c r="M512" i="7"/>
  <c r="K512" i="7"/>
  <c r="J512" i="7"/>
  <c r="H512" i="7"/>
  <c r="G512" i="7"/>
  <c r="W558" i="7" l="1"/>
  <c r="T558" i="7"/>
  <c r="S558" i="7"/>
  <c r="G566" i="7" l="1"/>
  <c r="H566" i="7"/>
  <c r="G553" i="7"/>
  <c r="H553" i="7"/>
  <c r="G547" i="7"/>
  <c r="H547" i="7"/>
  <c r="G540" i="7"/>
  <c r="H540" i="7"/>
  <c r="R566" i="7"/>
  <c r="Q566" i="7"/>
  <c r="P566" i="7"/>
  <c r="O566" i="7"/>
  <c r="N566" i="7"/>
  <c r="M566" i="7"/>
  <c r="L566" i="7"/>
  <c r="K566" i="7"/>
  <c r="J566" i="7"/>
  <c r="I566" i="7"/>
  <c r="W565" i="7"/>
  <c r="T565" i="7"/>
  <c r="S565" i="7"/>
  <c r="W564" i="7"/>
  <c r="T564" i="7"/>
  <c r="S564" i="7"/>
  <c r="W563" i="7"/>
  <c r="T563" i="7"/>
  <c r="S563" i="7"/>
  <c r="W562" i="7"/>
  <c r="T562" i="7"/>
  <c r="S562" i="7"/>
  <c r="W561" i="7"/>
  <c r="T561" i="7"/>
  <c r="S561" i="7"/>
  <c r="W560" i="7"/>
  <c r="T560" i="7"/>
  <c r="S560" i="7"/>
  <c r="R559" i="7"/>
  <c r="Q559" i="7"/>
  <c r="P559" i="7"/>
  <c r="O559" i="7"/>
  <c r="N559" i="7"/>
  <c r="M559" i="7"/>
  <c r="L559" i="7"/>
  <c r="K559" i="7"/>
  <c r="J559" i="7"/>
  <c r="W557" i="7"/>
  <c r="T557" i="7"/>
  <c r="S557" i="7"/>
  <c r="W556" i="7"/>
  <c r="T556" i="7"/>
  <c r="S556" i="7"/>
  <c r="W555" i="7"/>
  <c r="T555" i="7"/>
  <c r="S555" i="7"/>
  <c r="W554" i="7"/>
  <c r="T554" i="7"/>
  <c r="S554" i="7"/>
  <c r="V553" i="7"/>
  <c r="U553" i="7"/>
  <c r="R553" i="7"/>
  <c r="Q553" i="7"/>
  <c r="P553" i="7"/>
  <c r="O553" i="7"/>
  <c r="N553" i="7"/>
  <c r="M553" i="7"/>
  <c r="L553" i="7"/>
  <c r="K553" i="7"/>
  <c r="J553" i="7"/>
  <c r="I553" i="7"/>
  <c r="W552" i="7"/>
  <c r="T552" i="7"/>
  <c r="S552" i="7"/>
  <c r="W551" i="7"/>
  <c r="T551" i="7"/>
  <c r="S551" i="7"/>
  <c r="W550" i="7"/>
  <c r="T550" i="7"/>
  <c r="S550" i="7"/>
  <c r="W549" i="7"/>
  <c r="T549" i="7"/>
  <c r="S549" i="7"/>
  <c r="W548" i="7"/>
  <c r="T548" i="7"/>
  <c r="S548" i="7"/>
  <c r="V547" i="7"/>
  <c r="U547" i="7"/>
  <c r="R547" i="7"/>
  <c r="Q547" i="7"/>
  <c r="P547" i="7"/>
  <c r="O547" i="7"/>
  <c r="N547" i="7"/>
  <c r="M547" i="7"/>
  <c r="L547" i="7"/>
  <c r="K547" i="7"/>
  <c r="J547" i="7"/>
  <c r="I547" i="7"/>
  <c r="W546" i="7"/>
  <c r="T546" i="7"/>
  <c r="S546" i="7"/>
  <c r="W545" i="7"/>
  <c r="T545" i="7"/>
  <c r="S545" i="7"/>
  <c r="W544" i="7"/>
  <c r="T544" i="7"/>
  <c r="S544" i="7"/>
  <c r="W543" i="7"/>
  <c r="T543" i="7"/>
  <c r="S543" i="7"/>
  <c r="W542" i="7"/>
  <c r="T542" i="7"/>
  <c r="S542" i="7"/>
  <c r="W541" i="7"/>
  <c r="T541" i="7"/>
  <c r="S541" i="7"/>
  <c r="V540" i="7"/>
  <c r="U540" i="7"/>
  <c r="R540" i="7"/>
  <c r="Q540" i="7"/>
  <c r="P540" i="7"/>
  <c r="O540" i="7"/>
  <c r="N540" i="7"/>
  <c r="M540" i="7"/>
  <c r="L540" i="7"/>
  <c r="K540" i="7"/>
  <c r="J540" i="7"/>
  <c r="I540" i="7"/>
  <c r="W539" i="7"/>
  <c r="T539" i="7"/>
  <c r="S539" i="7"/>
  <c r="W538" i="7"/>
  <c r="T538" i="7"/>
  <c r="S538" i="7"/>
  <c r="W537" i="7"/>
  <c r="T537" i="7"/>
  <c r="S537" i="7"/>
  <c r="W536" i="7"/>
  <c r="T536" i="7"/>
  <c r="S536" i="7"/>
  <c r="W535" i="7"/>
  <c r="T535" i="7"/>
  <c r="S535" i="7"/>
  <c r="W534" i="7"/>
  <c r="T534" i="7"/>
  <c r="S534" i="7"/>
  <c r="W533" i="7"/>
  <c r="T533" i="7"/>
  <c r="S533" i="7"/>
  <c r="W532" i="7"/>
  <c r="T532" i="7"/>
  <c r="S532" i="7"/>
  <c r="V530" i="7"/>
  <c r="U530" i="7"/>
  <c r="R530" i="7"/>
  <c r="Q530" i="7"/>
  <c r="P530" i="7"/>
  <c r="O530" i="7"/>
  <c r="N530" i="7"/>
  <c r="M530" i="7"/>
  <c r="L530" i="7"/>
  <c r="K530" i="7"/>
  <c r="J530" i="7"/>
  <c r="I530" i="7"/>
  <c r="H530" i="7"/>
  <c r="G530" i="7"/>
  <c r="W529" i="7"/>
  <c r="T529" i="7"/>
  <c r="S529" i="7"/>
  <c r="W528" i="7"/>
  <c r="T528" i="7"/>
  <c r="S528" i="7"/>
  <c r="W527" i="7"/>
  <c r="T527" i="7"/>
  <c r="S527" i="7"/>
  <c r="W526" i="7"/>
  <c r="T526" i="7"/>
  <c r="S526" i="7"/>
  <c r="V525" i="7"/>
  <c r="U525" i="7"/>
  <c r="R525" i="7"/>
  <c r="Q525" i="7"/>
  <c r="P525" i="7"/>
  <c r="O525" i="7"/>
  <c r="N525" i="7"/>
  <c r="M525" i="7"/>
  <c r="L525" i="7"/>
  <c r="K525" i="7"/>
  <c r="J525" i="7"/>
  <c r="I525" i="7"/>
  <c r="H525" i="7"/>
  <c r="G525" i="7"/>
  <c r="W524" i="7"/>
  <c r="T524" i="7"/>
  <c r="W523" i="7"/>
  <c r="T523" i="7"/>
  <c r="W522" i="7"/>
  <c r="T522" i="7"/>
  <c r="W521" i="7"/>
  <c r="T521" i="7"/>
  <c r="S525" i="7"/>
  <c r="V520" i="7"/>
  <c r="U520" i="7"/>
  <c r="R520" i="7"/>
  <c r="Q520" i="7"/>
  <c r="P520" i="7"/>
  <c r="O520" i="7"/>
  <c r="N520" i="7"/>
  <c r="M520" i="7"/>
  <c r="L520" i="7"/>
  <c r="K520" i="7"/>
  <c r="J520" i="7"/>
  <c r="I520" i="7"/>
  <c r="H520" i="7"/>
  <c r="G520" i="7"/>
  <c r="W519" i="7"/>
  <c r="T519" i="7"/>
  <c r="S519" i="7"/>
  <c r="W518" i="7"/>
  <c r="T518" i="7"/>
  <c r="S518" i="7"/>
  <c r="W517" i="7"/>
  <c r="T517" i="7"/>
  <c r="S517" i="7"/>
  <c r="W516" i="7"/>
  <c r="T516" i="7"/>
  <c r="S516" i="7"/>
  <c r="W515" i="7"/>
  <c r="T515" i="7"/>
  <c r="S515" i="7"/>
  <c r="V514" i="7"/>
  <c r="U514" i="7"/>
  <c r="R514" i="7"/>
  <c r="Q514" i="7"/>
  <c r="P514" i="7"/>
  <c r="O514" i="7"/>
  <c r="N514" i="7"/>
  <c r="M514" i="7"/>
  <c r="L514" i="7"/>
  <c r="K514" i="7"/>
  <c r="J514" i="7"/>
  <c r="I514" i="7"/>
  <c r="H514" i="7"/>
  <c r="G514" i="7"/>
  <c r="W513" i="7"/>
  <c r="T513" i="7"/>
  <c r="S513" i="7"/>
  <c r="W512" i="7"/>
  <c r="T512" i="7"/>
  <c r="S512" i="7"/>
  <c r="T525" i="7" l="1"/>
  <c r="W525" i="7"/>
  <c r="W559" i="7"/>
  <c r="W553" i="7"/>
  <c r="T553" i="7"/>
  <c r="W566" i="7"/>
  <c r="T559" i="7"/>
  <c r="S553" i="7"/>
  <c r="T547" i="7"/>
  <c r="W540" i="7"/>
  <c r="T540" i="7"/>
  <c r="W530" i="7"/>
  <c r="S530" i="7"/>
  <c r="U567" i="7"/>
  <c r="R531" i="7"/>
  <c r="P531" i="7"/>
  <c r="N531" i="7"/>
  <c r="L531" i="7"/>
  <c r="W520" i="7"/>
  <c r="J531" i="7"/>
  <c r="H531" i="7"/>
  <c r="T514" i="7"/>
  <c r="T520" i="7"/>
  <c r="S520" i="7"/>
  <c r="S566" i="7"/>
  <c r="T566" i="7"/>
  <c r="S559" i="7"/>
  <c r="S547" i="7"/>
  <c r="W547" i="7"/>
  <c r="S540" i="7"/>
  <c r="T530" i="7"/>
  <c r="V531" i="7"/>
  <c r="G567" i="7"/>
  <c r="I567" i="7"/>
  <c r="K567" i="7"/>
  <c r="M567" i="7"/>
  <c r="O567" i="7"/>
  <c r="Q567" i="7"/>
  <c r="S514" i="7"/>
  <c r="W514" i="7"/>
  <c r="G531" i="7"/>
  <c r="I531" i="7"/>
  <c r="K531" i="7"/>
  <c r="M531" i="7"/>
  <c r="O531" i="7"/>
  <c r="Q531" i="7"/>
  <c r="U531" i="7"/>
  <c r="H567" i="7"/>
  <c r="J567" i="7"/>
  <c r="L567" i="7"/>
  <c r="N567" i="7"/>
  <c r="P567" i="7"/>
  <c r="R567" i="7"/>
  <c r="V567" i="7"/>
  <c r="J470" i="7"/>
  <c r="K470" i="7"/>
  <c r="L470" i="7"/>
  <c r="M470" i="7"/>
  <c r="N470" i="7"/>
  <c r="O470" i="7"/>
  <c r="P470" i="7"/>
  <c r="Q470" i="7"/>
  <c r="R470" i="7"/>
  <c r="U470" i="7"/>
  <c r="V470" i="7"/>
  <c r="G470" i="7"/>
  <c r="H470" i="7"/>
  <c r="K465" i="7"/>
  <c r="L465" i="7"/>
  <c r="M465" i="7"/>
  <c r="N465" i="7"/>
  <c r="O465" i="7"/>
  <c r="P465" i="7"/>
  <c r="Q465" i="7"/>
  <c r="R465" i="7"/>
  <c r="U465" i="7"/>
  <c r="V465" i="7"/>
  <c r="G465" i="7"/>
  <c r="H465" i="7"/>
  <c r="K459" i="7"/>
  <c r="L459" i="7"/>
  <c r="M459" i="7"/>
  <c r="N459" i="7"/>
  <c r="O459" i="7"/>
  <c r="P459" i="7"/>
  <c r="Q459" i="7"/>
  <c r="R459" i="7"/>
  <c r="U459" i="7"/>
  <c r="V459" i="7"/>
  <c r="G459" i="7"/>
  <c r="H459" i="7"/>
  <c r="H475" i="7"/>
  <c r="I475" i="7"/>
  <c r="J475" i="7"/>
  <c r="K475" i="7"/>
  <c r="L475" i="7"/>
  <c r="M475" i="7"/>
  <c r="N475" i="7"/>
  <c r="O475" i="7"/>
  <c r="P475" i="7"/>
  <c r="Q475" i="7"/>
  <c r="R475" i="7"/>
  <c r="U475" i="7"/>
  <c r="V475" i="7"/>
  <c r="G475" i="7"/>
  <c r="V476" i="7" l="1"/>
  <c r="H476" i="7"/>
  <c r="H511" i="7"/>
  <c r="G476" i="7"/>
  <c r="U476" i="7"/>
  <c r="W567" i="7"/>
  <c r="W531" i="7"/>
  <c r="T531" i="7"/>
  <c r="S531" i="7"/>
  <c r="S567" i="7"/>
  <c r="T567" i="7"/>
  <c r="G511" i="7"/>
  <c r="J510" i="7"/>
  <c r="K510" i="7"/>
  <c r="L510" i="7"/>
  <c r="J503" i="7"/>
  <c r="K503" i="7"/>
  <c r="L503" i="7"/>
  <c r="J498" i="7"/>
  <c r="K498" i="7"/>
  <c r="J492" i="7"/>
  <c r="K492" i="7"/>
  <c r="L492" i="7"/>
  <c r="J485" i="7"/>
  <c r="K485" i="7"/>
  <c r="L485" i="7"/>
  <c r="L476" i="7"/>
  <c r="J465" i="7"/>
  <c r="J459" i="7"/>
  <c r="S11" i="7"/>
  <c r="T11" i="7"/>
  <c r="S18" i="7"/>
  <c r="T18" i="7"/>
  <c r="S28" i="7"/>
  <c r="T28" i="7"/>
  <c r="S41" i="7"/>
  <c r="T41" i="7"/>
  <c r="S43" i="7"/>
  <c r="T43" i="7"/>
  <c r="S45" i="7"/>
  <c r="T45" i="7"/>
  <c r="S50" i="7"/>
  <c r="T50" i="7"/>
  <c r="S55" i="7"/>
  <c r="T55" i="7"/>
  <c r="S61" i="7"/>
  <c r="T61" i="7"/>
  <c r="S64" i="7"/>
  <c r="T64" i="7"/>
  <c r="S65" i="7"/>
  <c r="T65" i="7"/>
  <c r="S67" i="7"/>
  <c r="T67" i="7"/>
  <c r="S68" i="7"/>
  <c r="T68" i="7"/>
  <c r="S69" i="7"/>
  <c r="T69" i="7"/>
  <c r="S70" i="7"/>
  <c r="T70" i="7"/>
  <c r="S71" i="7"/>
  <c r="T71" i="7"/>
  <c r="S73" i="7"/>
  <c r="T73" i="7"/>
  <c r="S74" i="7"/>
  <c r="T74" i="7"/>
  <c r="S75" i="7"/>
  <c r="T75" i="7"/>
  <c r="S76" i="7"/>
  <c r="T76" i="7"/>
  <c r="S78" i="7"/>
  <c r="T78" i="7"/>
  <c r="S79" i="7"/>
  <c r="T79" i="7"/>
  <c r="S80" i="7"/>
  <c r="T80" i="7"/>
  <c r="S81" i="7"/>
  <c r="T81" i="7"/>
  <c r="S84" i="7"/>
  <c r="T84" i="7"/>
  <c r="S85" i="7"/>
  <c r="T85" i="7"/>
  <c r="S86" i="7"/>
  <c r="T86" i="7"/>
  <c r="S87" i="7"/>
  <c r="T87" i="7"/>
  <c r="S88" i="7"/>
  <c r="T88" i="7"/>
  <c r="S89" i="7"/>
  <c r="T89" i="7"/>
  <c r="S90" i="7"/>
  <c r="T90" i="7"/>
  <c r="S91" i="7"/>
  <c r="T91" i="7"/>
  <c r="S93" i="7"/>
  <c r="T93" i="7"/>
  <c r="S94" i="7"/>
  <c r="T94" i="7"/>
  <c r="S95" i="7"/>
  <c r="T95" i="7"/>
  <c r="S96" i="7"/>
  <c r="T96" i="7"/>
  <c r="S97" i="7"/>
  <c r="T97" i="7"/>
  <c r="S98" i="7"/>
  <c r="T98" i="7"/>
  <c r="S100" i="7"/>
  <c r="T100" i="7"/>
  <c r="S101" i="7"/>
  <c r="T101" i="7"/>
  <c r="S102" i="7"/>
  <c r="T102" i="7"/>
  <c r="S103" i="7"/>
  <c r="T103" i="7"/>
  <c r="S104" i="7"/>
  <c r="T104" i="7"/>
  <c r="S106" i="7"/>
  <c r="T106" i="7"/>
  <c r="S107" i="7"/>
  <c r="T107" i="7"/>
  <c r="S108" i="7"/>
  <c r="T108" i="7"/>
  <c r="S109" i="7"/>
  <c r="T109" i="7"/>
  <c r="S110" i="7"/>
  <c r="T110" i="7"/>
  <c r="S112" i="7"/>
  <c r="T112" i="7"/>
  <c r="S113" i="7"/>
  <c r="T113" i="7"/>
  <c r="S114" i="7"/>
  <c r="T114" i="7"/>
  <c r="S115" i="7"/>
  <c r="T115" i="7"/>
  <c r="S116" i="7"/>
  <c r="T116" i="7"/>
  <c r="S117" i="7"/>
  <c r="T117" i="7"/>
  <c r="S118" i="7"/>
  <c r="T118" i="7"/>
  <c r="S121" i="7"/>
  <c r="T121" i="7"/>
  <c r="S122" i="7"/>
  <c r="T122" i="7"/>
  <c r="S124" i="7"/>
  <c r="T124" i="7"/>
  <c r="S125" i="7"/>
  <c r="T125" i="7"/>
  <c r="S126" i="7"/>
  <c r="T126" i="7"/>
  <c r="S127" i="7"/>
  <c r="T127" i="7"/>
  <c r="S128" i="7"/>
  <c r="T128" i="7"/>
  <c r="S130" i="7"/>
  <c r="T130" i="7"/>
  <c r="S131" i="7"/>
  <c r="T131" i="7"/>
  <c r="S132" i="7"/>
  <c r="T132" i="7"/>
  <c r="S133" i="7"/>
  <c r="T133" i="7"/>
  <c r="S135" i="7"/>
  <c r="T135" i="7"/>
  <c r="S136" i="7"/>
  <c r="T136" i="7"/>
  <c r="S137" i="7"/>
  <c r="T137" i="7"/>
  <c r="S138" i="7"/>
  <c r="T138" i="7"/>
  <c r="S141" i="7"/>
  <c r="T141" i="7"/>
  <c r="S142" i="7"/>
  <c r="T142" i="7"/>
  <c r="S143" i="7"/>
  <c r="T143" i="7"/>
  <c r="S144" i="7"/>
  <c r="T144" i="7"/>
  <c r="S145" i="7"/>
  <c r="T145" i="7"/>
  <c r="S146" i="7"/>
  <c r="T146" i="7"/>
  <c r="S147" i="7"/>
  <c r="T147" i="7"/>
  <c r="S148" i="7"/>
  <c r="T148" i="7"/>
  <c r="S150" i="7"/>
  <c r="T150" i="7"/>
  <c r="S151" i="7"/>
  <c r="T151" i="7"/>
  <c r="S152" i="7"/>
  <c r="T152" i="7"/>
  <c r="S153" i="7"/>
  <c r="T153" i="7"/>
  <c r="S154" i="7"/>
  <c r="T154" i="7"/>
  <c r="S155" i="7"/>
  <c r="T155" i="7"/>
  <c r="S157" i="7"/>
  <c r="T157" i="7"/>
  <c r="S158" i="7"/>
  <c r="T158" i="7"/>
  <c r="S159" i="7"/>
  <c r="T159" i="7"/>
  <c r="S160" i="7"/>
  <c r="T160" i="7"/>
  <c r="S161" i="7"/>
  <c r="T161" i="7"/>
  <c r="S163" i="7"/>
  <c r="T163" i="7"/>
  <c r="S164" i="7"/>
  <c r="T164" i="7"/>
  <c r="S165" i="7"/>
  <c r="T165" i="7"/>
  <c r="S166" i="7"/>
  <c r="T166" i="7"/>
  <c r="S167" i="7"/>
  <c r="T167" i="7"/>
  <c r="S169" i="7"/>
  <c r="T169" i="7"/>
  <c r="S170" i="7"/>
  <c r="T170" i="7"/>
  <c r="S171" i="7"/>
  <c r="T171" i="7"/>
  <c r="S172" i="7"/>
  <c r="T172" i="7"/>
  <c r="S173" i="7"/>
  <c r="T173" i="7"/>
  <c r="S174" i="7"/>
  <c r="T174" i="7"/>
  <c r="S175" i="7"/>
  <c r="T175" i="7"/>
  <c r="S178" i="7"/>
  <c r="T178" i="7"/>
  <c r="S179" i="7"/>
  <c r="T179" i="7"/>
  <c r="S181" i="7"/>
  <c r="T181" i="7"/>
  <c r="S182" i="7"/>
  <c r="T182" i="7"/>
  <c r="S183" i="7"/>
  <c r="T183" i="7"/>
  <c r="S184" i="7"/>
  <c r="T184" i="7"/>
  <c r="S185" i="7"/>
  <c r="T185" i="7"/>
  <c r="S187" i="7"/>
  <c r="T187" i="7"/>
  <c r="S188" i="7"/>
  <c r="T188" i="7"/>
  <c r="S189" i="7"/>
  <c r="T189" i="7"/>
  <c r="S190" i="7"/>
  <c r="T190" i="7"/>
  <c r="S192" i="7"/>
  <c r="T192" i="7"/>
  <c r="S193" i="7"/>
  <c r="T193" i="7"/>
  <c r="S194" i="7"/>
  <c r="T194" i="7"/>
  <c r="S195" i="7"/>
  <c r="T195" i="7"/>
  <c r="S198" i="7"/>
  <c r="T198" i="7"/>
  <c r="S199" i="7"/>
  <c r="T199" i="7"/>
  <c r="S200" i="7"/>
  <c r="T200" i="7"/>
  <c r="S201" i="7"/>
  <c r="T201" i="7"/>
  <c r="S202" i="7"/>
  <c r="T202" i="7"/>
  <c r="S203" i="7"/>
  <c r="T203" i="7"/>
  <c r="S204" i="7"/>
  <c r="T204" i="7"/>
  <c r="S205" i="7"/>
  <c r="T205" i="7"/>
  <c r="S207" i="7"/>
  <c r="T207" i="7"/>
  <c r="S208" i="7"/>
  <c r="T208" i="7"/>
  <c r="S209" i="7"/>
  <c r="T209" i="7"/>
  <c r="S210" i="7"/>
  <c r="T210" i="7"/>
  <c r="S211" i="7"/>
  <c r="T211" i="7"/>
  <c r="S212" i="7"/>
  <c r="T212" i="7"/>
  <c r="S214" i="7"/>
  <c r="T214" i="7"/>
  <c r="S215" i="7"/>
  <c r="T215" i="7"/>
  <c r="S216" i="7"/>
  <c r="T216" i="7"/>
  <c r="S217" i="7"/>
  <c r="T217" i="7"/>
  <c r="S218" i="7"/>
  <c r="T218" i="7"/>
  <c r="S220" i="7"/>
  <c r="T220" i="7"/>
  <c r="S221" i="7"/>
  <c r="T221" i="7"/>
  <c r="S222" i="7"/>
  <c r="T222" i="7"/>
  <c r="S223" i="7"/>
  <c r="T223" i="7"/>
  <c r="S225" i="7"/>
  <c r="T225" i="7"/>
  <c r="S226" i="7"/>
  <c r="T226" i="7"/>
  <c r="S227" i="7"/>
  <c r="T227" i="7"/>
  <c r="S228" i="7"/>
  <c r="T228" i="7"/>
  <c r="S229" i="7"/>
  <c r="T229" i="7"/>
  <c r="S230" i="7"/>
  <c r="T230" i="7"/>
  <c r="S231" i="7"/>
  <c r="T231" i="7"/>
  <c r="S234" i="7"/>
  <c r="T234" i="7"/>
  <c r="S235" i="7"/>
  <c r="T235" i="7"/>
  <c r="S237" i="7"/>
  <c r="T237" i="7"/>
  <c r="S238" i="7"/>
  <c r="T238" i="7"/>
  <c r="S239" i="7"/>
  <c r="T239" i="7"/>
  <c r="S240" i="7"/>
  <c r="T240" i="7"/>
  <c r="S241" i="7"/>
  <c r="T241" i="7"/>
  <c r="S243" i="7"/>
  <c r="T243" i="7"/>
  <c r="S244" i="7"/>
  <c r="T244" i="7"/>
  <c r="S245" i="7"/>
  <c r="T245" i="7"/>
  <c r="S246" i="7"/>
  <c r="T246" i="7"/>
  <c r="S248" i="7"/>
  <c r="T248" i="7"/>
  <c r="S249" i="7"/>
  <c r="T249" i="7"/>
  <c r="S250" i="7"/>
  <c r="T250" i="7"/>
  <c r="S251" i="7"/>
  <c r="T251" i="7"/>
  <c r="S254" i="7"/>
  <c r="T254" i="7"/>
  <c r="S255" i="7"/>
  <c r="T255" i="7"/>
  <c r="S256" i="7"/>
  <c r="T256" i="7"/>
  <c r="S257" i="7"/>
  <c r="T257" i="7"/>
  <c r="S258" i="7"/>
  <c r="T258" i="7"/>
  <c r="S259" i="7"/>
  <c r="T259" i="7"/>
  <c r="S260" i="7"/>
  <c r="T260" i="7"/>
  <c r="S261" i="7"/>
  <c r="T261" i="7"/>
  <c r="S263" i="7"/>
  <c r="T263" i="7"/>
  <c r="S264" i="7"/>
  <c r="T264" i="7"/>
  <c r="S265" i="7"/>
  <c r="T265" i="7"/>
  <c r="S266" i="7"/>
  <c r="T266" i="7"/>
  <c r="S267" i="7"/>
  <c r="T267" i="7"/>
  <c r="S268" i="7"/>
  <c r="T268" i="7"/>
  <c r="S270" i="7"/>
  <c r="T270" i="7"/>
  <c r="S271" i="7"/>
  <c r="T271" i="7"/>
  <c r="S272" i="7"/>
  <c r="T272" i="7"/>
  <c r="S273" i="7"/>
  <c r="T273" i="7"/>
  <c r="S274" i="7"/>
  <c r="T274" i="7"/>
  <c r="S276" i="7"/>
  <c r="T276" i="7"/>
  <c r="S277" i="7"/>
  <c r="T277" i="7"/>
  <c r="S278" i="7"/>
  <c r="T278" i="7"/>
  <c r="S279" i="7"/>
  <c r="T279" i="7"/>
  <c r="S281" i="7"/>
  <c r="T281" i="7"/>
  <c r="S282" i="7"/>
  <c r="T282" i="7"/>
  <c r="S283" i="7"/>
  <c r="T283" i="7"/>
  <c r="S284" i="7"/>
  <c r="T284" i="7"/>
  <c r="S285" i="7"/>
  <c r="T285" i="7"/>
  <c r="S286" i="7"/>
  <c r="T286" i="7"/>
  <c r="S287" i="7"/>
  <c r="T287" i="7"/>
  <c r="S290" i="7"/>
  <c r="T290" i="7"/>
  <c r="S291" i="7"/>
  <c r="T291" i="7"/>
  <c r="S293" i="7"/>
  <c r="T293" i="7"/>
  <c r="S294" i="7"/>
  <c r="T294" i="7"/>
  <c r="S295" i="7"/>
  <c r="T295" i="7"/>
  <c r="S296" i="7"/>
  <c r="T296" i="7"/>
  <c r="S297" i="7"/>
  <c r="T297" i="7"/>
  <c r="S299" i="7"/>
  <c r="T299" i="7"/>
  <c r="S300" i="7"/>
  <c r="T300" i="7"/>
  <c r="S301" i="7"/>
  <c r="T301" i="7"/>
  <c r="S302" i="7"/>
  <c r="T302" i="7"/>
  <c r="S304" i="7"/>
  <c r="T304" i="7"/>
  <c r="S305" i="7"/>
  <c r="T305" i="7"/>
  <c r="S306" i="7"/>
  <c r="T306" i="7"/>
  <c r="S307" i="7"/>
  <c r="T307" i="7"/>
  <c r="S310" i="7"/>
  <c r="T310" i="7"/>
  <c r="S311" i="7"/>
  <c r="T311" i="7"/>
  <c r="S312" i="7"/>
  <c r="T312" i="7"/>
  <c r="S313" i="7"/>
  <c r="T313" i="7"/>
  <c r="S314" i="7"/>
  <c r="T314" i="7"/>
  <c r="S315" i="7"/>
  <c r="T315" i="7"/>
  <c r="S316" i="7"/>
  <c r="T316" i="7"/>
  <c r="S317" i="7"/>
  <c r="T317" i="7"/>
  <c r="S319" i="7"/>
  <c r="T319" i="7"/>
  <c r="S320" i="7"/>
  <c r="T320" i="7"/>
  <c r="S321" i="7"/>
  <c r="T321" i="7"/>
  <c r="S322" i="7"/>
  <c r="T322" i="7"/>
  <c r="S323" i="7"/>
  <c r="T323" i="7"/>
  <c r="S324" i="7"/>
  <c r="T324" i="7"/>
  <c r="S326" i="7"/>
  <c r="T326" i="7"/>
  <c r="S327" i="7"/>
  <c r="T327" i="7"/>
  <c r="S328" i="7"/>
  <c r="T328" i="7"/>
  <c r="S329" i="7"/>
  <c r="T329" i="7"/>
  <c r="S330" i="7"/>
  <c r="T330" i="7"/>
  <c r="S332" i="7"/>
  <c r="T332" i="7"/>
  <c r="S333" i="7"/>
  <c r="T333" i="7"/>
  <c r="S334" i="7"/>
  <c r="T334" i="7"/>
  <c r="S335" i="7"/>
  <c r="T335" i="7"/>
  <c r="S337" i="7"/>
  <c r="T337" i="7"/>
  <c r="S338" i="7"/>
  <c r="T338" i="7"/>
  <c r="S339" i="7"/>
  <c r="T339" i="7"/>
  <c r="S340" i="7"/>
  <c r="T340" i="7"/>
  <c r="S341" i="7"/>
  <c r="T341" i="7"/>
  <c r="S342" i="7"/>
  <c r="T342" i="7"/>
  <c r="S343" i="7"/>
  <c r="T343" i="7"/>
  <c r="S347" i="7"/>
  <c r="T347" i="7"/>
  <c r="S349" i="7"/>
  <c r="T349" i="7"/>
  <c r="S351" i="7"/>
  <c r="T351" i="7"/>
  <c r="S352" i="7"/>
  <c r="T352" i="7"/>
  <c r="S353" i="7"/>
  <c r="T353" i="7"/>
  <c r="S355" i="7"/>
  <c r="T355" i="7"/>
  <c r="S356" i="7"/>
  <c r="T356" i="7"/>
  <c r="S357" i="7"/>
  <c r="T357" i="7"/>
  <c r="S358" i="7"/>
  <c r="T358" i="7"/>
  <c r="S360" i="7"/>
  <c r="T360" i="7"/>
  <c r="S361" i="7"/>
  <c r="T361" i="7"/>
  <c r="S362" i="7"/>
  <c r="T362" i="7"/>
  <c r="S366" i="7"/>
  <c r="T366" i="7"/>
  <c r="S367" i="7"/>
  <c r="T367" i="7"/>
  <c r="S369" i="7"/>
  <c r="T369" i="7"/>
  <c r="S370" i="7"/>
  <c r="T370" i="7"/>
  <c r="S372" i="7"/>
  <c r="T372" i="7"/>
  <c r="S373" i="7"/>
  <c r="T373" i="7"/>
  <c r="S375" i="7"/>
  <c r="T375" i="7"/>
  <c r="S377" i="7"/>
  <c r="T377" i="7"/>
  <c r="S378" i="7"/>
  <c r="T378" i="7"/>
  <c r="T382" i="7"/>
  <c r="S383" i="7"/>
  <c r="T383" i="7"/>
  <c r="S385" i="7"/>
  <c r="T385" i="7"/>
  <c r="S386" i="7"/>
  <c r="T386" i="7"/>
  <c r="S388" i="7"/>
  <c r="T388" i="7"/>
  <c r="S389" i="7"/>
  <c r="T389" i="7"/>
  <c r="S390" i="7"/>
  <c r="T390" i="7"/>
  <c r="S391" i="7"/>
  <c r="T391" i="7"/>
  <c r="S393" i="7"/>
  <c r="T393" i="7"/>
  <c r="S394" i="7"/>
  <c r="T394" i="7"/>
  <c r="S395" i="7"/>
  <c r="T395" i="7"/>
  <c r="S396" i="7"/>
  <c r="T396" i="7"/>
  <c r="S397" i="7"/>
  <c r="T397" i="7"/>
  <c r="S398" i="7"/>
  <c r="T398" i="7"/>
  <c r="S399" i="7"/>
  <c r="T399" i="7"/>
  <c r="S403" i="7"/>
  <c r="T403" i="7"/>
  <c r="S405" i="7"/>
  <c r="T405" i="7"/>
  <c r="S406" i="7"/>
  <c r="T406" i="7"/>
  <c r="S407" i="7"/>
  <c r="T407" i="7"/>
  <c r="S408" i="7"/>
  <c r="T408" i="7"/>
  <c r="S409" i="7"/>
  <c r="T409" i="7"/>
  <c r="S411" i="7"/>
  <c r="T411" i="7"/>
  <c r="S412" i="7"/>
  <c r="T412" i="7"/>
  <c r="S413" i="7"/>
  <c r="T413" i="7"/>
  <c r="S414" i="7"/>
  <c r="T414" i="7"/>
  <c r="S416" i="7"/>
  <c r="T416" i="7"/>
  <c r="S417" i="7"/>
  <c r="T417" i="7"/>
  <c r="S418" i="7"/>
  <c r="T418" i="7"/>
  <c r="S419" i="7"/>
  <c r="T419" i="7"/>
  <c r="S422" i="7"/>
  <c r="T422" i="7"/>
  <c r="S423" i="7"/>
  <c r="T423" i="7"/>
  <c r="S424" i="7"/>
  <c r="T424" i="7"/>
  <c r="S425" i="7"/>
  <c r="T425" i="7"/>
  <c r="S426" i="7"/>
  <c r="T426" i="7"/>
  <c r="S428" i="7"/>
  <c r="T428" i="7"/>
  <c r="S429" i="7"/>
  <c r="T429" i="7"/>
  <c r="S432" i="7"/>
  <c r="T432" i="7"/>
  <c r="S433" i="7"/>
  <c r="T433" i="7"/>
  <c r="S434" i="7"/>
  <c r="T434" i="7"/>
  <c r="S435" i="7"/>
  <c r="T435" i="7"/>
  <c r="S436" i="7"/>
  <c r="T436" i="7"/>
  <c r="S438" i="7"/>
  <c r="T438" i="7"/>
  <c r="S439" i="7"/>
  <c r="T439" i="7"/>
  <c r="S440" i="7"/>
  <c r="T440" i="7"/>
  <c r="S441" i="7"/>
  <c r="T441" i="7"/>
  <c r="S442" i="7"/>
  <c r="T442" i="7"/>
  <c r="S444" i="7"/>
  <c r="T444" i="7"/>
  <c r="S445" i="7"/>
  <c r="T445" i="7"/>
  <c r="S446" i="7"/>
  <c r="T446" i="7"/>
  <c r="S447" i="7"/>
  <c r="T447" i="7"/>
  <c r="S449" i="7"/>
  <c r="T449" i="7"/>
  <c r="S450" i="7"/>
  <c r="T450" i="7"/>
  <c r="S451" i="7"/>
  <c r="T451" i="7"/>
  <c r="S452" i="7"/>
  <c r="T452" i="7"/>
  <c r="S453" i="7"/>
  <c r="T453" i="7"/>
  <c r="S454" i="7"/>
  <c r="T454" i="7"/>
  <c r="S457" i="7"/>
  <c r="T457" i="7"/>
  <c r="S458" i="7"/>
  <c r="T458" i="7"/>
  <c r="S460" i="7"/>
  <c r="T460" i="7"/>
  <c r="S461" i="7"/>
  <c r="T461" i="7"/>
  <c r="S462" i="7"/>
  <c r="T462" i="7"/>
  <c r="S463" i="7"/>
  <c r="T463" i="7"/>
  <c r="S464" i="7"/>
  <c r="T464" i="7"/>
  <c r="S466" i="7"/>
  <c r="T466" i="7"/>
  <c r="S467" i="7"/>
  <c r="T467" i="7"/>
  <c r="S468" i="7"/>
  <c r="T468" i="7"/>
  <c r="S469" i="7"/>
  <c r="T469" i="7"/>
  <c r="S471" i="7"/>
  <c r="T471" i="7"/>
  <c r="S472" i="7"/>
  <c r="T472" i="7"/>
  <c r="S473" i="7"/>
  <c r="T473" i="7"/>
  <c r="S474" i="7"/>
  <c r="T474" i="7"/>
  <c r="S477" i="7"/>
  <c r="T477" i="7"/>
  <c r="S478" i="7"/>
  <c r="T478" i="7"/>
  <c r="S479" i="7"/>
  <c r="T479" i="7"/>
  <c r="S480" i="7"/>
  <c r="T480" i="7"/>
  <c r="S481" i="7"/>
  <c r="T481" i="7"/>
  <c r="S482" i="7"/>
  <c r="T482" i="7"/>
  <c r="S483" i="7"/>
  <c r="T483" i="7"/>
  <c r="S484" i="7"/>
  <c r="T484" i="7"/>
  <c r="S486" i="7"/>
  <c r="T486" i="7"/>
  <c r="S487" i="7"/>
  <c r="T487" i="7"/>
  <c r="S488" i="7"/>
  <c r="T488" i="7"/>
  <c r="S489" i="7"/>
  <c r="T489" i="7"/>
  <c r="S490" i="7"/>
  <c r="T490" i="7"/>
  <c r="S491" i="7"/>
  <c r="T491" i="7"/>
  <c r="S493" i="7"/>
  <c r="T493" i="7"/>
  <c r="S494" i="7"/>
  <c r="T494" i="7"/>
  <c r="S495" i="7"/>
  <c r="T495" i="7"/>
  <c r="S496" i="7"/>
  <c r="T496" i="7"/>
  <c r="S497" i="7"/>
  <c r="T497" i="7"/>
  <c r="S499" i="7"/>
  <c r="T499" i="7"/>
  <c r="S500" i="7"/>
  <c r="T500" i="7"/>
  <c r="S501" i="7"/>
  <c r="T501" i="7"/>
  <c r="S502" i="7"/>
  <c r="T502" i="7"/>
  <c r="S504" i="7"/>
  <c r="T504" i="7"/>
  <c r="S505" i="7"/>
  <c r="T505" i="7"/>
  <c r="S506" i="7"/>
  <c r="T506" i="7"/>
  <c r="S507" i="7"/>
  <c r="T507" i="7"/>
  <c r="S508" i="7"/>
  <c r="T508" i="7"/>
  <c r="S509" i="7"/>
  <c r="T509" i="7"/>
  <c r="H392" i="7"/>
  <c r="G392" i="7"/>
  <c r="H384" i="7"/>
  <c r="H387" i="7" s="1"/>
  <c r="G384" i="7"/>
  <c r="S384" i="7" s="1"/>
  <c r="G382" i="7"/>
  <c r="H380" i="7"/>
  <c r="T380" i="7" s="1"/>
  <c r="G380" i="7"/>
  <c r="S380" i="7" s="1"/>
  <c r="H379" i="7"/>
  <c r="T379" i="7" s="1"/>
  <c r="G379" i="7"/>
  <c r="S379" i="7" s="1"/>
  <c r="H376" i="7"/>
  <c r="H381" i="7" s="1"/>
  <c r="G376" i="7"/>
  <c r="G381" i="7" s="1"/>
  <c r="H371" i="7"/>
  <c r="T371" i="7" s="1"/>
  <c r="G371" i="7"/>
  <c r="S371" i="7" s="1"/>
  <c r="H368" i="7"/>
  <c r="H374" i="7" s="1"/>
  <c r="G368" i="7"/>
  <c r="G374" i="7" s="1"/>
  <c r="H363" i="7"/>
  <c r="H364" i="7" s="1"/>
  <c r="G363" i="7"/>
  <c r="G364" i="7" s="1"/>
  <c r="H359" i="7"/>
  <c r="G359" i="7"/>
  <c r="H350" i="7"/>
  <c r="H354" i="7" s="1"/>
  <c r="G350" i="7"/>
  <c r="G354" i="7" s="1"/>
  <c r="H346" i="7"/>
  <c r="H348" i="7" s="1"/>
  <c r="G346" i="7"/>
  <c r="G348" i="7" s="1"/>
  <c r="H344" i="7"/>
  <c r="G344" i="7"/>
  <c r="H336" i="7"/>
  <c r="G336" i="7"/>
  <c r="H331" i="7"/>
  <c r="G331" i="7"/>
  <c r="H325" i="7"/>
  <c r="G325" i="7"/>
  <c r="H318" i="7"/>
  <c r="G318" i="7"/>
  <c r="H308" i="7"/>
  <c r="G308" i="7"/>
  <c r="H303" i="7"/>
  <c r="G303" i="7"/>
  <c r="H298" i="7"/>
  <c r="G298" i="7"/>
  <c r="H292" i="7"/>
  <c r="G292" i="7"/>
  <c r="H288" i="7"/>
  <c r="G288" i="7"/>
  <c r="H280" i="7"/>
  <c r="G280" i="7"/>
  <c r="H275" i="7"/>
  <c r="G275" i="7"/>
  <c r="H269" i="7"/>
  <c r="G269" i="7"/>
  <c r="H262" i="7"/>
  <c r="G262" i="7"/>
  <c r="H252" i="7"/>
  <c r="G252" i="7"/>
  <c r="H247" i="7"/>
  <c r="G247" i="7"/>
  <c r="H242" i="7"/>
  <c r="G242" i="7"/>
  <c r="H236" i="7"/>
  <c r="G236" i="7"/>
  <c r="H232" i="7"/>
  <c r="G232" i="7"/>
  <c r="H224" i="7"/>
  <c r="G224" i="7"/>
  <c r="H219" i="7"/>
  <c r="G219" i="7"/>
  <c r="H213" i="7"/>
  <c r="G213" i="7"/>
  <c r="H206" i="7"/>
  <c r="G206" i="7"/>
  <c r="H196" i="7"/>
  <c r="G196" i="7"/>
  <c r="H191" i="7"/>
  <c r="G191" i="7"/>
  <c r="H186" i="7"/>
  <c r="G186" i="7"/>
  <c r="H180" i="7"/>
  <c r="G180" i="7"/>
  <c r="H176" i="7"/>
  <c r="G176" i="7"/>
  <c r="H168" i="7"/>
  <c r="G168" i="7"/>
  <c r="H162" i="7"/>
  <c r="G162" i="7"/>
  <c r="H156" i="7"/>
  <c r="G156" i="7"/>
  <c r="H149" i="7"/>
  <c r="G149" i="7"/>
  <c r="H139" i="7"/>
  <c r="G139" i="7"/>
  <c r="H134" i="7"/>
  <c r="G134" i="7"/>
  <c r="H129" i="7"/>
  <c r="G129" i="7"/>
  <c r="H123" i="7"/>
  <c r="G123" i="7"/>
  <c r="H119" i="7"/>
  <c r="G119" i="7"/>
  <c r="H111" i="7"/>
  <c r="G111" i="7"/>
  <c r="H105" i="7"/>
  <c r="G105" i="7"/>
  <c r="H99" i="7"/>
  <c r="G99" i="7"/>
  <c r="H92" i="7"/>
  <c r="G92" i="7"/>
  <c r="H82" i="7"/>
  <c r="G82" i="7"/>
  <c r="H77" i="7"/>
  <c r="G77" i="7"/>
  <c r="H72" i="7"/>
  <c r="G72" i="7"/>
  <c r="H66" i="7"/>
  <c r="G66" i="7"/>
  <c r="H60" i="7"/>
  <c r="G60" i="7"/>
  <c r="H59" i="7"/>
  <c r="G59" i="7"/>
  <c r="H58" i="7"/>
  <c r="T58" i="7" s="1"/>
  <c r="G58" i="7"/>
  <c r="S58" i="7" s="1"/>
  <c r="H57" i="7"/>
  <c r="G57" i="7"/>
  <c r="H56" i="7"/>
  <c r="G56" i="7"/>
  <c r="H53" i="7"/>
  <c r="G53" i="7"/>
  <c r="H52" i="7"/>
  <c r="G52" i="7"/>
  <c r="G51" i="7"/>
  <c r="H49" i="7"/>
  <c r="G49" i="7"/>
  <c r="H46" i="7"/>
  <c r="G46" i="7"/>
  <c r="H44" i="7"/>
  <c r="G44" i="7"/>
  <c r="H40" i="7"/>
  <c r="G40" i="7"/>
  <c r="H39" i="7"/>
  <c r="G39" i="7"/>
  <c r="H38" i="7"/>
  <c r="G38" i="7"/>
  <c r="H37" i="7"/>
  <c r="G37" i="7"/>
  <c r="H36" i="7"/>
  <c r="G36" i="7"/>
  <c r="H34" i="7"/>
  <c r="G34" i="7"/>
  <c r="H33" i="7"/>
  <c r="G33" i="7"/>
  <c r="H32" i="7"/>
  <c r="G32" i="7"/>
  <c r="H31" i="7"/>
  <c r="G31" i="7"/>
  <c r="H30" i="7"/>
  <c r="G30" i="7"/>
  <c r="H29" i="7"/>
  <c r="G29" i="7"/>
  <c r="H27" i="7"/>
  <c r="G27" i="7"/>
  <c r="H24" i="7"/>
  <c r="G24" i="7"/>
  <c r="H23" i="7"/>
  <c r="G23" i="7"/>
  <c r="H22" i="7"/>
  <c r="G22" i="7"/>
  <c r="H21" i="7"/>
  <c r="G21" i="7"/>
  <c r="H19" i="7"/>
  <c r="G19" i="7"/>
  <c r="H17" i="7"/>
  <c r="G17" i="7"/>
  <c r="H16" i="7"/>
  <c r="G16" i="7"/>
  <c r="H14" i="7"/>
  <c r="G14" i="7"/>
  <c r="H13" i="7"/>
  <c r="G13" i="7"/>
  <c r="H12" i="7"/>
  <c r="G12" i="7"/>
  <c r="H8" i="7"/>
  <c r="G8" i="7"/>
  <c r="H7" i="7"/>
  <c r="G7" i="7"/>
  <c r="G9" i="7" s="1"/>
  <c r="H400" i="7"/>
  <c r="G400" i="7"/>
  <c r="H455" i="7"/>
  <c r="G455" i="7"/>
  <c r="H448" i="7"/>
  <c r="G448" i="7"/>
  <c r="H443" i="7"/>
  <c r="G443" i="7"/>
  <c r="H431" i="7"/>
  <c r="G431" i="7"/>
  <c r="G437" i="7" s="1"/>
  <c r="H427" i="7"/>
  <c r="G427" i="7"/>
  <c r="G430" i="7" s="1"/>
  <c r="H420" i="7"/>
  <c r="G420" i="7"/>
  <c r="H415" i="7"/>
  <c r="G415" i="7"/>
  <c r="H410" i="7"/>
  <c r="G410" i="7"/>
  <c r="H402" i="7"/>
  <c r="G402" i="7"/>
  <c r="G404" i="7" s="1"/>
  <c r="G421" i="7" s="1"/>
  <c r="G456" i="7" s="1"/>
  <c r="G309" i="7" l="1"/>
  <c r="G345" i="7" s="1"/>
  <c r="H309" i="7"/>
  <c r="H345" i="7" s="1"/>
  <c r="H365" i="7"/>
  <c r="G365" i="7"/>
  <c r="G197" i="7"/>
  <c r="G233" i="7" s="1"/>
  <c r="G253" i="7"/>
  <c r="G289" i="7" s="1"/>
  <c r="G387" i="7"/>
  <c r="G401" i="7" s="1"/>
  <c r="K511" i="7"/>
  <c r="H430" i="7"/>
  <c r="T427" i="7"/>
  <c r="H437" i="7"/>
  <c r="T431" i="7"/>
  <c r="H9" i="7"/>
  <c r="H15" i="7"/>
  <c r="H404" i="7"/>
  <c r="H42" i="7"/>
  <c r="H48" i="7"/>
  <c r="H54" i="7"/>
  <c r="G83" i="7"/>
  <c r="G15" i="7"/>
  <c r="G25" i="7"/>
  <c r="G35" i="7"/>
  <c r="G42" i="7"/>
  <c r="G48" i="7"/>
  <c r="H62" i="7"/>
  <c r="H83" i="7"/>
  <c r="H140" i="7"/>
  <c r="H197" i="7"/>
  <c r="H253" i="7"/>
  <c r="T384" i="7"/>
  <c r="T376" i="7"/>
  <c r="T363" i="7"/>
  <c r="H20" i="7"/>
  <c r="H25" i="7"/>
  <c r="H35" i="7"/>
  <c r="G62" i="7"/>
  <c r="G140" i="7"/>
  <c r="S431" i="7"/>
  <c r="S427" i="7"/>
  <c r="S382" i="7"/>
  <c r="S376" i="7"/>
  <c r="S363" i="7"/>
  <c r="T475" i="7"/>
  <c r="T470" i="7"/>
  <c r="T465" i="7"/>
  <c r="T459" i="7"/>
  <c r="S475" i="7"/>
  <c r="S470" i="7"/>
  <c r="S465" i="7"/>
  <c r="S459" i="7"/>
  <c r="J511" i="7"/>
  <c r="K476" i="7"/>
  <c r="J476" i="7"/>
  <c r="G54" i="7"/>
  <c r="H401" i="7"/>
  <c r="G20" i="7"/>
  <c r="I510" i="7"/>
  <c r="M510" i="7"/>
  <c r="N510" i="7"/>
  <c r="O510" i="7"/>
  <c r="P510" i="7"/>
  <c r="Q510" i="7"/>
  <c r="R510" i="7"/>
  <c r="U510" i="7"/>
  <c r="V510" i="7"/>
  <c r="I503" i="7"/>
  <c r="M503" i="7"/>
  <c r="N503" i="7"/>
  <c r="O503" i="7"/>
  <c r="P503" i="7"/>
  <c r="Q503" i="7"/>
  <c r="R503" i="7"/>
  <c r="U503" i="7"/>
  <c r="V503" i="7"/>
  <c r="I498" i="7"/>
  <c r="L498" i="7"/>
  <c r="L511" i="7" s="1"/>
  <c r="M498" i="7"/>
  <c r="N498" i="7"/>
  <c r="O498" i="7"/>
  <c r="P498" i="7"/>
  <c r="Q498" i="7"/>
  <c r="R498" i="7"/>
  <c r="U498" i="7"/>
  <c r="V498" i="7"/>
  <c r="I492" i="7"/>
  <c r="M492" i="7"/>
  <c r="N492" i="7"/>
  <c r="O492" i="7"/>
  <c r="P492" i="7"/>
  <c r="Q492" i="7"/>
  <c r="R492" i="7"/>
  <c r="U492" i="7"/>
  <c r="V492" i="7"/>
  <c r="I485" i="7"/>
  <c r="M485" i="7"/>
  <c r="N485" i="7"/>
  <c r="O485" i="7"/>
  <c r="P485" i="7"/>
  <c r="Q485" i="7"/>
  <c r="R485" i="7"/>
  <c r="U485" i="7"/>
  <c r="V485" i="7"/>
  <c r="I470" i="7"/>
  <c r="I465" i="7"/>
  <c r="S503" i="7" l="1"/>
  <c r="S476" i="7"/>
  <c r="T476" i="7"/>
  <c r="T485" i="7"/>
  <c r="S492" i="7"/>
  <c r="T498" i="7"/>
  <c r="T503" i="7"/>
  <c r="S510" i="7"/>
  <c r="H233" i="7"/>
  <c r="H177" i="7"/>
  <c r="H120" i="7"/>
  <c r="H421" i="7"/>
  <c r="S485" i="7"/>
  <c r="T492" i="7"/>
  <c r="S498" i="7"/>
  <c r="T510" i="7"/>
  <c r="G26" i="7"/>
  <c r="G63" i="7" s="1"/>
  <c r="G120" i="7"/>
  <c r="H26" i="7"/>
  <c r="G177" i="7"/>
  <c r="H289" i="7"/>
  <c r="I459" i="7"/>
  <c r="W460" i="7"/>
  <c r="W461" i="7"/>
  <c r="W462" i="7"/>
  <c r="W463" i="7"/>
  <c r="W464" i="7"/>
  <c r="W466" i="7"/>
  <c r="W467" i="7"/>
  <c r="W468" i="7"/>
  <c r="W469" i="7"/>
  <c r="W471" i="7"/>
  <c r="W472" i="7"/>
  <c r="W473" i="7"/>
  <c r="W474" i="7"/>
  <c r="W477" i="7"/>
  <c r="W478" i="7"/>
  <c r="W479" i="7"/>
  <c r="W480" i="7"/>
  <c r="W481" i="7"/>
  <c r="W482" i="7"/>
  <c r="W483" i="7"/>
  <c r="W484" i="7"/>
  <c r="W486" i="7"/>
  <c r="W487" i="7"/>
  <c r="W488" i="7"/>
  <c r="W489" i="7"/>
  <c r="W490" i="7"/>
  <c r="W491" i="7"/>
  <c r="W493" i="7"/>
  <c r="W494" i="7"/>
  <c r="W495" i="7"/>
  <c r="W496" i="7"/>
  <c r="W497" i="7"/>
  <c r="W499" i="7"/>
  <c r="W500" i="7"/>
  <c r="W501" i="7"/>
  <c r="W502" i="7"/>
  <c r="W504" i="7"/>
  <c r="W505" i="7"/>
  <c r="W506" i="7"/>
  <c r="W507" i="7"/>
  <c r="W508" i="7"/>
  <c r="W509" i="7"/>
  <c r="W458" i="7"/>
  <c r="W457" i="7"/>
  <c r="W459" i="7" l="1"/>
  <c r="W475" i="7"/>
  <c r="W470" i="7"/>
  <c r="W465" i="7"/>
  <c r="H63" i="7"/>
  <c r="H456" i="7"/>
  <c r="W510" i="7"/>
  <c r="W503" i="7"/>
  <c r="U511" i="7"/>
  <c r="R511" i="7"/>
  <c r="R476" i="7"/>
  <c r="P476" i="7"/>
  <c r="P511" i="7"/>
  <c r="N511" i="7"/>
  <c r="N476" i="7"/>
  <c r="I511" i="7"/>
  <c r="I476" i="7"/>
  <c r="W498" i="7"/>
  <c r="W492" i="7"/>
  <c r="W485" i="7"/>
  <c r="V511" i="7"/>
  <c r="Q511" i="7"/>
  <c r="Q476" i="7"/>
  <c r="O511" i="7"/>
  <c r="O476" i="7"/>
  <c r="M511" i="7"/>
  <c r="M476" i="7"/>
  <c r="V455" i="7"/>
  <c r="U455" i="7"/>
  <c r="R455" i="7"/>
  <c r="Q455" i="7"/>
  <c r="P455" i="7"/>
  <c r="O455" i="7"/>
  <c r="N455" i="7"/>
  <c r="M455" i="7"/>
  <c r="L455" i="7"/>
  <c r="I455" i="7"/>
  <c r="W454" i="7"/>
  <c r="W453" i="7"/>
  <c r="W452" i="7"/>
  <c r="W451" i="7"/>
  <c r="W450" i="7"/>
  <c r="W449" i="7"/>
  <c r="V448" i="7"/>
  <c r="U448" i="7"/>
  <c r="R448" i="7"/>
  <c r="Q448" i="7"/>
  <c r="P448" i="7"/>
  <c r="O448" i="7"/>
  <c r="N448" i="7"/>
  <c r="M448" i="7"/>
  <c r="L448" i="7"/>
  <c r="I448" i="7"/>
  <c r="W447" i="7"/>
  <c r="W446" i="7"/>
  <c r="W445" i="7"/>
  <c r="W444" i="7"/>
  <c r="V443" i="7"/>
  <c r="U443" i="7"/>
  <c r="R443" i="7"/>
  <c r="Q443" i="7"/>
  <c r="P443" i="7"/>
  <c r="O443" i="7"/>
  <c r="N443" i="7"/>
  <c r="M443" i="7"/>
  <c r="L443" i="7"/>
  <c r="I443" i="7"/>
  <c r="W442" i="7"/>
  <c r="W441" i="7"/>
  <c r="W440" i="7"/>
  <c r="W439" i="7"/>
  <c r="W438" i="7"/>
  <c r="V437" i="7"/>
  <c r="U437" i="7"/>
  <c r="R437" i="7"/>
  <c r="Q437" i="7"/>
  <c r="P437" i="7"/>
  <c r="O437" i="7"/>
  <c r="N437" i="7"/>
  <c r="M437" i="7"/>
  <c r="L437" i="7"/>
  <c r="I437" i="7"/>
  <c r="W436" i="7"/>
  <c r="W435" i="7"/>
  <c r="W434" i="7"/>
  <c r="W433" i="7"/>
  <c r="W432" i="7"/>
  <c r="W431" i="7"/>
  <c r="V430" i="7"/>
  <c r="U430" i="7"/>
  <c r="R430" i="7"/>
  <c r="Q430" i="7"/>
  <c r="P430" i="7"/>
  <c r="O430" i="7"/>
  <c r="N430" i="7"/>
  <c r="M430" i="7"/>
  <c r="L430" i="7"/>
  <c r="I430" i="7"/>
  <c r="W429" i="7"/>
  <c r="W428" i="7"/>
  <c r="W427" i="7"/>
  <c r="W426" i="7"/>
  <c r="W425" i="7"/>
  <c r="W424" i="7"/>
  <c r="W423" i="7"/>
  <c r="W422" i="7"/>
  <c r="V420" i="7"/>
  <c r="U420" i="7"/>
  <c r="R420" i="7"/>
  <c r="Q420" i="7"/>
  <c r="P420" i="7"/>
  <c r="O420" i="7"/>
  <c r="N420" i="7"/>
  <c r="M420" i="7"/>
  <c r="L420" i="7"/>
  <c r="I420" i="7"/>
  <c r="W419" i="7"/>
  <c r="W418" i="7"/>
  <c r="W417" i="7"/>
  <c r="W416" i="7"/>
  <c r="V415" i="7"/>
  <c r="U415" i="7"/>
  <c r="R415" i="7"/>
  <c r="Q415" i="7"/>
  <c r="P415" i="7"/>
  <c r="O415" i="7"/>
  <c r="N415" i="7"/>
  <c r="T415" i="7" s="1"/>
  <c r="M415" i="7"/>
  <c r="L415" i="7"/>
  <c r="I415" i="7"/>
  <c r="W414" i="7"/>
  <c r="W413" i="7"/>
  <c r="W412" i="7"/>
  <c r="W411" i="7"/>
  <c r="V410" i="7"/>
  <c r="U410" i="7"/>
  <c r="R410" i="7"/>
  <c r="Q410" i="7"/>
  <c r="P410" i="7"/>
  <c r="O410" i="7"/>
  <c r="N410" i="7"/>
  <c r="T410" i="7" s="1"/>
  <c r="M410" i="7"/>
  <c r="L410" i="7"/>
  <c r="I410" i="7"/>
  <c r="W409" i="7"/>
  <c r="W408" i="7"/>
  <c r="W407" i="7"/>
  <c r="W406" i="7"/>
  <c r="W405" i="7"/>
  <c r="V404" i="7"/>
  <c r="U404" i="7"/>
  <c r="R404" i="7"/>
  <c r="O404" i="7"/>
  <c r="L404" i="7"/>
  <c r="I404" i="7"/>
  <c r="W403" i="7"/>
  <c r="W402" i="7"/>
  <c r="Q402" i="7"/>
  <c r="Q404" i="7" s="1"/>
  <c r="P402" i="7"/>
  <c r="P404" i="7" s="1"/>
  <c r="P421" i="7" s="1"/>
  <c r="P456" i="7" s="1"/>
  <c r="N402" i="7"/>
  <c r="M402" i="7"/>
  <c r="V400" i="7"/>
  <c r="U400" i="7"/>
  <c r="R400" i="7"/>
  <c r="Q400" i="7"/>
  <c r="P400" i="7"/>
  <c r="O400" i="7"/>
  <c r="N400" i="7"/>
  <c r="M400" i="7"/>
  <c r="L400" i="7"/>
  <c r="I400" i="7"/>
  <c r="W399" i="7"/>
  <c r="W398" i="7"/>
  <c r="W397" i="7"/>
  <c r="W396" i="7"/>
  <c r="W395" i="7"/>
  <c r="W394" i="7"/>
  <c r="W393" i="7"/>
  <c r="V392" i="7"/>
  <c r="U392" i="7"/>
  <c r="R392" i="7"/>
  <c r="Q392" i="7"/>
  <c r="P392" i="7"/>
  <c r="O392" i="7"/>
  <c r="N392" i="7"/>
  <c r="M392" i="7"/>
  <c r="L392" i="7"/>
  <c r="I392" i="7"/>
  <c r="W391" i="7"/>
  <c r="W390" i="7"/>
  <c r="W389" i="7"/>
  <c r="W388" i="7"/>
  <c r="V387" i="7"/>
  <c r="U387" i="7"/>
  <c r="R387" i="7"/>
  <c r="Q387" i="7"/>
  <c r="P387" i="7"/>
  <c r="O387" i="7"/>
  <c r="N387" i="7"/>
  <c r="M387" i="7"/>
  <c r="L387" i="7"/>
  <c r="I387" i="7"/>
  <c r="W386" i="7"/>
  <c r="W385" i="7"/>
  <c r="W384" i="7"/>
  <c r="W383" i="7"/>
  <c r="W382" i="7"/>
  <c r="V381" i="7"/>
  <c r="U381" i="7"/>
  <c r="R381" i="7"/>
  <c r="Q381" i="7"/>
  <c r="P381" i="7"/>
  <c r="O381" i="7"/>
  <c r="N381" i="7"/>
  <c r="M381" i="7"/>
  <c r="L381" i="7"/>
  <c r="I381" i="7"/>
  <c r="W380" i="7"/>
  <c r="W379" i="7"/>
  <c r="W378" i="7"/>
  <c r="W377" i="7"/>
  <c r="W376" i="7"/>
  <c r="W375" i="7"/>
  <c r="V374" i="7"/>
  <c r="U374" i="7"/>
  <c r="R374" i="7"/>
  <c r="O374" i="7"/>
  <c r="L374" i="7"/>
  <c r="I374" i="7"/>
  <c r="W373" i="7"/>
  <c r="W372" i="7"/>
  <c r="W371" i="7"/>
  <c r="W370" i="7"/>
  <c r="W369" i="7"/>
  <c r="W368" i="7"/>
  <c r="Q368" i="7"/>
  <c r="Q374" i="7" s="1"/>
  <c r="P368" i="7"/>
  <c r="P374" i="7" s="1"/>
  <c r="N368" i="7"/>
  <c r="M368" i="7"/>
  <c r="W367" i="7"/>
  <c r="W366" i="7"/>
  <c r="V364" i="7"/>
  <c r="U364" i="7"/>
  <c r="R364" i="7"/>
  <c r="Q364" i="7"/>
  <c r="P364" i="7"/>
  <c r="O364" i="7"/>
  <c r="N364" i="7"/>
  <c r="T364" i="7" s="1"/>
  <c r="M364" i="7"/>
  <c r="L364" i="7"/>
  <c r="I364" i="7"/>
  <c r="W363" i="7"/>
  <c r="W362" i="7"/>
  <c r="W361" i="7"/>
  <c r="W360" i="7"/>
  <c r="V359" i="7"/>
  <c r="U359" i="7"/>
  <c r="R359" i="7"/>
  <c r="Q359" i="7"/>
  <c r="P359" i="7"/>
  <c r="O359" i="7"/>
  <c r="N359" i="7"/>
  <c r="T359" i="7" s="1"/>
  <c r="M359" i="7"/>
  <c r="L359" i="7"/>
  <c r="I359" i="7"/>
  <c r="W358" i="7"/>
  <c r="W357" i="7"/>
  <c r="W356" i="7"/>
  <c r="W355" i="7"/>
  <c r="V354" i="7"/>
  <c r="U354" i="7"/>
  <c r="R354" i="7"/>
  <c r="O354" i="7"/>
  <c r="L354" i="7"/>
  <c r="I354" i="7"/>
  <c r="W353" i="7"/>
  <c r="W352" i="7"/>
  <c r="W351" i="7"/>
  <c r="W350" i="7"/>
  <c r="Q350" i="7"/>
  <c r="Q354" i="7" s="1"/>
  <c r="P350" i="7"/>
  <c r="P354" i="7" s="1"/>
  <c r="N350" i="7"/>
  <c r="M350" i="7"/>
  <c r="W349" i="7"/>
  <c r="V348" i="7"/>
  <c r="U348" i="7"/>
  <c r="R348" i="7"/>
  <c r="O348" i="7"/>
  <c r="L348" i="7"/>
  <c r="I348" i="7"/>
  <c r="W347" i="7"/>
  <c r="W346" i="7"/>
  <c r="Q346" i="7"/>
  <c r="Q348" i="7" s="1"/>
  <c r="P346" i="7"/>
  <c r="P348" i="7" s="1"/>
  <c r="N346" i="7"/>
  <c r="M346" i="7"/>
  <c r="V344" i="7"/>
  <c r="U344" i="7"/>
  <c r="R344" i="7"/>
  <c r="Q344" i="7"/>
  <c r="P344" i="7"/>
  <c r="O344" i="7"/>
  <c r="N344" i="7"/>
  <c r="M344" i="7"/>
  <c r="L344" i="7"/>
  <c r="I344" i="7"/>
  <c r="W343" i="7"/>
  <c r="W342" i="7"/>
  <c r="W341" i="7"/>
  <c r="W340" i="7"/>
  <c r="W339" i="7"/>
  <c r="W338" i="7"/>
  <c r="W337" i="7"/>
  <c r="V336" i="7"/>
  <c r="U336" i="7"/>
  <c r="R336" i="7"/>
  <c r="Q336" i="7"/>
  <c r="P336" i="7"/>
  <c r="O336" i="7"/>
  <c r="N336" i="7"/>
  <c r="M336" i="7"/>
  <c r="L336" i="7"/>
  <c r="I336" i="7"/>
  <c r="W335" i="7"/>
  <c r="W334" i="7"/>
  <c r="W333" i="7"/>
  <c r="W332" i="7"/>
  <c r="V331" i="7"/>
  <c r="U331" i="7"/>
  <c r="R331" i="7"/>
  <c r="Q331" i="7"/>
  <c r="P331" i="7"/>
  <c r="O331" i="7"/>
  <c r="N331" i="7"/>
  <c r="M331" i="7"/>
  <c r="L331" i="7"/>
  <c r="I331" i="7"/>
  <c r="W330" i="7"/>
  <c r="W329" i="7"/>
  <c r="W328" i="7"/>
  <c r="W327" i="7"/>
  <c r="W326" i="7"/>
  <c r="V325" i="7"/>
  <c r="U325" i="7"/>
  <c r="R325" i="7"/>
  <c r="Q325" i="7"/>
  <c r="P325" i="7"/>
  <c r="O325" i="7"/>
  <c r="N325" i="7"/>
  <c r="M325" i="7"/>
  <c r="L325" i="7"/>
  <c r="I325" i="7"/>
  <c r="W324" i="7"/>
  <c r="W323" i="7"/>
  <c r="W322" i="7"/>
  <c r="W321" i="7"/>
  <c r="W320" i="7"/>
  <c r="W319" i="7"/>
  <c r="V318" i="7"/>
  <c r="U318" i="7"/>
  <c r="R318" i="7"/>
  <c r="Q318" i="7"/>
  <c r="P318" i="7"/>
  <c r="O318" i="7"/>
  <c r="N318" i="7"/>
  <c r="M318" i="7"/>
  <c r="S318" i="7" s="1"/>
  <c r="L318" i="7"/>
  <c r="I318" i="7"/>
  <c r="W317" i="7"/>
  <c r="W316" i="7"/>
  <c r="W315" i="7"/>
  <c r="W314" i="7"/>
  <c r="W313" i="7"/>
  <c r="W312" i="7"/>
  <c r="W311" i="7"/>
  <c r="W310" i="7"/>
  <c r="V308" i="7"/>
  <c r="U308" i="7"/>
  <c r="R308" i="7"/>
  <c r="Q308" i="7"/>
  <c r="P308" i="7"/>
  <c r="O308" i="7"/>
  <c r="N308" i="7"/>
  <c r="M308" i="7"/>
  <c r="S308" i="7" s="1"/>
  <c r="L308" i="7"/>
  <c r="I308" i="7"/>
  <c r="W307" i="7"/>
  <c r="W306" i="7"/>
  <c r="W305" i="7"/>
  <c r="W304" i="7"/>
  <c r="V303" i="7"/>
  <c r="U303" i="7"/>
  <c r="R303" i="7"/>
  <c r="Q303" i="7"/>
  <c r="P303" i="7"/>
  <c r="O303" i="7"/>
  <c r="N303" i="7"/>
  <c r="M303" i="7"/>
  <c r="S303" i="7" s="1"/>
  <c r="L303" i="7"/>
  <c r="I303" i="7"/>
  <c r="W302" i="7"/>
  <c r="W301" i="7"/>
  <c r="W300" i="7"/>
  <c r="W299" i="7"/>
  <c r="V298" i="7"/>
  <c r="U298" i="7"/>
  <c r="R298" i="7"/>
  <c r="Q298" i="7"/>
  <c r="P298" i="7"/>
  <c r="O298" i="7"/>
  <c r="N298" i="7"/>
  <c r="M298" i="7"/>
  <c r="S298" i="7" s="1"/>
  <c r="L298" i="7"/>
  <c r="I298" i="7"/>
  <c r="W297" i="7"/>
  <c r="W296" i="7"/>
  <c r="W295" i="7"/>
  <c r="W294" i="7"/>
  <c r="W293" i="7"/>
  <c r="V292" i="7"/>
  <c r="U292" i="7"/>
  <c r="R292" i="7"/>
  <c r="Q292" i="7"/>
  <c r="P292" i="7"/>
  <c r="O292" i="7"/>
  <c r="N292" i="7"/>
  <c r="M292" i="7"/>
  <c r="L292" i="7"/>
  <c r="I292" i="7"/>
  <c r="W291" i="7"/>
  <c r="W290" i="7"/>
  <c r="V288" i="7"/>
  <c r="U288" i="7"/>
  <c r="R288" i="7"/>
  <c r="Q288" i="7"/>
  <c r="P288" i="7"/>
  <c r="O288" i="7"/>
  <c r="N288" i="7"/>
  <c r="M288" i="7"/>
  <c r="L288" i="7"/>
  <c r="I288" i="7"/>
  <c r="W287" i="7"/>
  <c r="W286" i="7"/>
  <c r="W285" i="7"/>
  <c r="W284" i="7"/>
  <c r="W283" i="7"/>
  <c r="W282" i="7"/>
  <c r="W281" i="7"/>
  <c r="V280" i="7"/>
  <c r="U280" i="7"/>
  <c r="R280" i="7"/>
  <c r="Q280" i="7"/>
  <c r="P280" i="7"/>
  <c r="O280" i="7"/>
  <c r="N280" i="7"/>
  <c r="M280" i="7"/>
  <c r="S280" i="7" s="1"/>
  <c r="L280" i="7"/>
  <c r="I280" i="7"/>
  <c r="W279" i="7"/>
  <c r="W278" i="7"/>
  <c r="W277" i="7"/>
  <c r="W276" i="7"/>
  <c r="V275" i="7"/>
  <c r="U275" i="7"/>
  <c r="R275" i="7"/>
  <c r="Q275" i="7"/>
  <c r="P275" i="7"/>
  <c r="O275" i="7"/>
  <c r="N275" i="7"/>
  <c r="M275" i="7"/>
  <c r="L275" i="7"/>
  <c r="I275" i="7"/>
  <c r="W274" i="7"/>
  <c r="W273" i="7"/>
  <c r="W272" i="7"/>
  <c r="W271" i="7"/>
  <c r="W270" i="7"/>
  <c r="V269" i="7"/>
  <c r="U269" i="7"/>
  <c r="R269" i="7"/>
  <c r="Q269" i="7"/>
  <c r="P269" i="7"/>
  <c r="O269" i="7"/>
  <c r="N269" i="7"/>
  <c r="M269" i="7"/>
  <c r="L269" i="7"/>
  <c r="I269" i="7"/>
  <c r="W268" i="7"/>
  <c r="W267" i="7"/>
  <c r="W266" i="7"/>
  <c r="W265" i="7"/>
  <c r="W264" i="7"/>
  <c r="W263" i="7"/>
  <c r="V262" i="7"/>
  <c r="U262" i="7"/>
  <c r="R262" i="7"/>
  <c r="Q262" i="7"/>
  <c r="P262" i="7"/>
  <c r="O262" i="7"/>
  <c r="N262" i="7"/>
  <c r="M262" i="7"/>
  <c r="L262" i="7"/>
  <c r="I262" i="7"/>
  <c r="W261" i="7"/>
  <c r="W260" i="7"/>
  <c r="W259" i="7"/>
  <c r="W258" i="7"/>
  <c r="W257" i="7"/>
  <c r="W256" i="7"/>
  <c r="W255" i="7"/>
  <c r="W254" i="7"/>
  <c r="V252" i="7"/>
  <c r="U252" i="7"/>
  <c r="R252" i="7"/>
  <c r="Q252" i="7"/>
  <c r="P252" i="7"/>
  <c r="O252" i="7"/>
  <c r="N252" i="7"/>
  <c r="T252" i="7" s="1"/>
  <c r="M252" i="7"/>
  <c r="L252" i="7"/>
  <c r="I252" i="7"/>
  <c r="W251" i="7"/>
  <c r="W250" i="7"/>
  <c r="W249" i="7"/>
  <c r="W248" i="7"/>
  <c r="V247" i="7"/>
  <c r="U247" i="7"/>
  <c r="R247" i="7"/>
  <c r="Q247" i="7"/>
  <c r="P247" i="7"/>
  <c r="O247" i="7"/>
  <c r="N247" i="7"/>
  <c r="T247" i="7" s="1"/>
  <c r="M247" i="7"/>
  <c r="L247" i="7"/>
  <c r="I247" i="7"/>
  <c r="W246" i="7"/>
  <c r="W245" i="7"/>
  <c r="W244" i="7"/>
  <c r="W243" i="7"/>
  <c r="V242" i="7"/>
  <c r="U242" i="7"/>
  <c r="R242" i="7"/>
  <c r="Q242" i="7"/>
  <c r="P242" i="7"/>
  <c r="O242" i="7"/>
  <c r="N242" i="7"/>
  <c r="M242" i="7"/>
  <c r="L242" i="7"/>
  <c r="I242" i="7"/>
  <c r="W241" i="7"/>
  <c r="W240" i="7"/>
  <c r="W239" i="7"/>
  <c r="W238" i="7"/>
  <c r="W237" i="7"/>
  <c r="V236" i="7"/>
  <c r="U236" i="7"/>
  <c r="R236" i="7"/>
  <c r="Q236" i="7"/>
  <c r="P236" i="7"/>
  <c r="O236" i="7"/>
  <c r="N236" i="7"/>
  <c r="M236" i="7"/>
  <c r="L236" i="7"/>
  <c r="I236" i="7"/>
  <c r="W235" i="7"/>
  <c r="W234" i="7"/>
  <c r="V232" i="7"/>
  <c r="U232" i="7"/>
  <c r="R232" i="7"/>
  <c r="Q232" i="7"/>
  <c r="P232" i="7"/>
  <c r="O232" i="7"/>
  <c r="N232" i="7"/>
  <c r="M232" i="7"/>
  <c r="L232" i="7"/>
  <c r="I232" i="7"/>
  <c r="W231" i="7"/>
  <c r="W230" i="7"/>
  <c r="W229" i="7"/>
  <c r="W228" i="7"/>
  <c r="W227" i="7"/>
  <c r="W226" i="7"/>
  <c r="W225" i="7"/>
  <c r="V224" i="7"/>
  <c r="U224" i="7"/>
  <c r="R224" i="7"/>
  <c r="Q224" i="7"/>
  <c r="P224" i="7"/>
  <c r="O224" i="7"/>
  <c r="N224" i="7"/>
  <c r="M224" i="7"/>
  <c r="L224" i="7"/>
  <c r="I224" i="7"/>
  <c r="W223" i="7"/>
  <c r="W222" i="7"/>
  <c r="W221" i="7"/>
  <c r="W220" i="7"/>
  <c r="V219" i="7"/>
  <c r="U219" i="7"/>
  <c r="R219" i="7"/>
  <c r="Q219" i="7"/>
  <c r="P219" i="7"/>
  <c r="O219" i="7"/>
  <c r="N219" i="7"/>
  <c r="M219" i="7"/>
  <c r="L219" i="7"/>
  <c r="I219" i="7"/>
  <c r="W218" i="7"/>
  <c r="W217" i="7"/>
  <c r="W216" i="7"/>
  <c r="W215" i="7"/>
  <c r="W214" i="7"/>
  <c r="V213" i="7"/>
  <c r="U213" i="7"/>
  <c r="R213" i="7"/>
  <c r="Q213" i="7"/>
  <c r="P213" i="7"/>
  <c r="O213" i="7"/>
  <c r="N213" i="7"/>
  <c r="M213" i="7"/>
  <c r="S213" i="7" s="1"/>
  <c r="L213" i="7"/>
  <c r="I213" i="7"/>
  <c r="W212" i="7"/>
  <c r="W211" i="7"/>
  <c r="W210" i="7"/>
  <c r="W209" i="7"/>
  <c r="W208" i="7"/>
  <c r="W207" i="7"/>
  <c r="V206" i="7"/>
  <c r="U206" i="7"/>
  <c r="R206" i="7"/>
  <c r="Q206" i="7"/>
  <c r="P206" i="7"/>
  <c r="O206" i="7"/>
  <c r="N206" i="7"/>
  <c r="M206" i="7"/>
  <c r="L206" i="7"/>
  <c r="I206" i="7"/>
  <c r="W205" i="7"/>
  <c r="W204" i="7"/>
  <c r="W203" i="7"/>
  <c r="W202" i="7"/>
  <c r="W201" i="7"/>
  <c r="W200" i="7"/>
  <c r="W199" i="7"/>
  <c r="W198" i="7"/>
  <c r="V196" i="7"/>
  <c r="U196" i="7"/>
  <c r="R196" i="7"/>
  <c r="Q196" i="7"/>
  <c r="P196" i="7"/>
  <c r="O196" i="7"/>
  <c r="N196" i="7"/>
  <c r="M196" i="7"/>
  <c r="S196" i="7" s="1"/>
  <c r="L196" i="7"/>
  <c r="I196" i="7"/>
  <c r="W195" i="7"/>
  <c r="W194" i="7"/>
  <c r="W193" i="7"/>
  <c r="W192" i="7"/>
  <c r="V191" i="7"/>
  <c r="U191" i="7"/>
  <c r="R191" i="7"/>
  <c r="Q191" i="7"/>
  <c r="P191" i="7"/>
  <c r="O191" i="7"/>
  <c r="N191" i="7"/>
  <c r="M191" i="7"/>
  <c r="L191" i="7"/>
  <c r="I191" i="7"/>
  <c r="W190" i="7"/>
  <c r="W189" i="7"/>
  <c r="W188" i="7"/>
  <c r="W187" i="7"/>
  <c r="V186" i="7"/>
  <c r="U186" i="7"/>
  <c r="R186" i="7"/>
  <c r="Q186" i="7"/>
  <c r="P186" i="7"/>
  <c r="O186" i="7"/>
  <c r="N186" i="7"/>
  <c r="M186" i="7"/>
  <c r="L186" i="7"/>
  <c r="I186" i="7"/>
  <c r="W185" i="7"/>
  <c r="W184" i="7"/>
  <c r="W183" i="7"/>
  <c r="W182" i="7"/>
  <c r="W181" i="7"/>
  <c r="V180" i="7"/>
  <c r="U180" i="7"/>
  <c r="R180" i="7"/>
  <c r="Q180" i="7"/>
  <c r="P180" i="7"/>
  <c r="O180" i="7"/>
  <c r="N180" i="7"/>
  <c r="T180" i="7" s="1"/>
  <c r="M180" i="7"/>
  <c r="L180" i="7"/>
  <c r="I180" i="7"/>
  <c r="W179" i="7"/>
  <c r="W178" i="7"/>
  <c r="V176" i="7"/>
  <c r="U176" i="7"/>
  <c r="R176" i="7"/>
  <c r="Q176" i="7"/>
  <c r="P176" i="7"/>
  <c r="O176" i="7"/>
  <c r="N176" i="7"/>
  <c r="M176" i="7"/>
  <c r="L176" i="7"/>
  <c r="I176" i="7"/>
  <c r="W175" i="7"/>
  <c r="W174" i="7"/>
  <c r="W173" i="7"/>
  <c r="W172" i="7"/>
  <c r="W171" i="7"/>
  <c r="W170" i="7"/>
  <c r="W169" i="7"/>
  <c r="V168" i="7"/>
  <c r="U168" i="7"/>
  <c r="R168" i="7"/>
  <c r="Q168" i="7"/>
  <c r="P168" i="7"/>
  <c r="O168" i="7"/>
  <c r="N168" i="7"/>
  <c r="M168" i="7"/>
  <c r="S168" i="7" s="1"/>
  <c r="L168" i="7"/>
  <c r="I168" i="7"/>
  <c r="W167" i="7"/>
  <c r="W166" i="7"/>
  <c r="W165" i="7"/>
  <c r="W164" i="7"/>
  <c r="W163" i="7"/>
  <c r="V162" i="7"/>
  <c r="U162" i="7"/>
  <c r="R162" i="7"/>
  <c r="Q162" i="7"/>
  <c r="P162" i="7"/>
  <c r="O162" i="7"/>
  <c r="N162" i="7"/>
  <c r="M162" i="7"/>
  <c r="L162" i="7"/>
  <c r="I162" i="7"/>
  <c r="W161" i="7"/>
  <c r="W160" i="7"/>
  <c r="W159" i="7"/>
  <c r="W158" i="7"/>
  <c r="W157" i="7"/>
  <c r="V156" i="7"/>
  <c r="U156" i="7"/>
  <c r="R156" i="7"/>
  <c r="Q156" i="7"/>
  <c r="P156" i="7"/>
  <c r="O156" i="7"/>
  <c r="N156" i="7"/>
  <c r="M156" i="7"/>
  <c r="L156" i="7"/>
  <c r="I156" i="7"/>
  <c r="W155" i="7"/>
  <c r="W154" i="7"/>
  <c r="W153" i="7"/>
  <c r="W152" i="7"/>
  <c r="W151" i="7"/>
  <c r="W150" i="7"/>
  <c r="V149" i="7"/>
  <c r="U149" i="7"/>
  <c r="R149" i="7"/>
  <c r="Q149" i="7"/>
  <c r="P149" i="7"/>
  <c r="O149" i="7"/>
  <c r="N149" i="7"/>
  <c r="M149" i="7"/>
  <c r="L149" i="7"/>
  <c r="I149" i="7"/>
  <c r="W148" i="7"/>
  <c r="W147" i="7"/>
  <c r="W146" i="7"/>
  <c r="W145" i="7"/>
  <c r="W144" i="7"/>
  <c r="W143" i="7"/>
  <c r="W142" i="7"/>
  <c r="W141" i="7"/>
  <c r="V139" i="7"/>
  <c r="U139" i="7"/>
  <c r="R139" i="7"/>
  <c r="Q139" i="7"/>
  <c r="P139" i="7"/>
  <c r="O139" i="7"/>
  <c r="N139" i="7"/>
  <c r="M139" i="7"/>
  <c r="S139" i="7" s="1"/>
  <c r="L139" i="7"/>
  <c r="I139" i="7"/>
  <c r="W138" i="7"/>
  <c r="W137" i="7"/>
  <c r="W136" i="7"/>
  <c r="W135" i="7"/>
  <c r="V134" i="7"/>
  <c r="U134" i="7"/>
  <c r="R134" i="7"/>
  <c r="Q134" i="7"/>
  <c r="P134" i="7"/>
  <c r="O134" i="7"/>
  <c r="N134" i="7"/>
  <c r="M134" i="7"/>
  <c r="L134" i="7"/>
  <c r="I134" i="7"/>
  <c r="W133" i="7"/>
  <c r="W132" i="7"/>
  <c r="W131" i="7"/>
  <c r="W130" i="7"/>
  <c r="V129" i="7"/>
  <c r="U129" i="7"/>
  <c r="R129" i="7"/>
  <c r="Q129" i="7"/>
  <c r="P129" i="7"/>
  <c r="O129" i="7"/>
  <c r="N129" i="7"/>
  <c r="M129" i="7"/>
  <c r="L129" i="7"/>
  <c r="I129" i="7"/>
  <c r="W128" i="7"/>
  <c r="W127" i="7"/>
  <c r="W126" i="7"/>
  <c r="W125" i="7"/>
  <c r="W124" i="7"/>
  <c r="V123" i="7"/>
  <c r="U123" i="7"/>
  <c r="R123" i="7"/>
  <c r="Q123" i="7"/>
  <c r="P123" i="7"/>
  <c r="O123" i="7"/>
  <c r="N123" i="7"/>
  <c r="M123" i="7"/>
  <c r="L123" i="7"/>
  <c r="I123" i="7"/>
  <c r="W122" i="7"/>
  <c r="W121" i="7"/>
  <c r="V119" i="7"/>
  <c r="U119" i="7"/>
  <c r="R119" i="7"/>
  <c r="Q119" i="7"/>
  <c r="P119" i="7"/>
  <c r="O119" i="7"/>
  <c r="N119" i="7"/>
  <c r="M119" i="7"/>
  <c r="L119" i="7"/>
  <c r="I119" i="7"/>
  <c r="W118" i="7"/>
  <c r="W117" i="7"/>
  <c r="W116" i="7"/>
  <c r="W115" i="7"/>
  <c r="W114" i="7"/>
  <c r="W113" i="7"/>
  <c r="W112" i="7"/>
  <c r="V111" i="7"/>
  <c r="U111" i="7"/>
  <c r="R111" i="7"/>
  <c r="Q111" i="7"/>
  <c r="P111" i="7"/>
  <c r="O111" i="7"/>
  <c r="N111" i="7"/>
  <c r="M111" i="7"/>
  <c r="S111" i="7" s="1"/>
  <c r="L111" i="7"/>
  <c r="I111" i="7"/>
  <c r="W110" i="7"/>
  <c r="W109" i="7"/>
  <c r="W108" i="7"/>
  <c r="W107" i="7"/>
  <c r="W106" i="7"/>
  <c r="V105" i="7"/>
  <c r="U105" i="7"/>
  <c r="R105" i="7"/>
  <c r="Q105" i="7"/>
  <c r="P105" i="7"/>
  <c r="O105" i="7"/>
  <c r="N105" i="7"/>
  <c r="M105" i="7"/>
  <c r="L105" i="7"/>
  <c r="I105" i="7"/>
  <c r="W104" i="7"/>
  <c r="W103" i="7"/>
  <c r="W102" i="7"/>
  <c r="W101" i="7"/>
  <c r="W100" i="7"/>
  <c r="V99" i="7"/>
  <c r="U99" i="7"/>
  <c r="R99" i="7"/>
  <c r="Q99" i="7"/>
  <c r="P99" i="7"/>
  <c r="O99" i="7"/>
  <c r="N99" i="7"/>
  <c r="M99" i="7"/>
  <c r="L99" i="7"/>
  <c r="I99" i="7"/>
  <c r="W98" i="7"/>
  <c r="W97" i="7"/>
  <c r="W96" i="7"/>
  <c r="W95" i="7"/>
  <c r="W94" i="7"/>
  <c r="W93" i="7"/>
  <c r="V92" i="7"/>
  <c r="U92" i="7"/>
  <c r="R92" i="7"/>
  <c r="Q92" i="7"/>
  <c r="P92" i="7"/>
  <c r="O92" i="7"/>
  <c r="N92" i="7"/>
  <c r="M92" i="7"/>
  <c r="L92" i="7"/>
  <c r="I92" i="7"/>
  <c r="W91" i="7"/>
  <c r="W90" i="7"/>
  <c r="W89" i="7"/>
  <c r="W88" i="7"/>
  <c r="W87" i="7"/>
  <c r="W86" i="7"/>
  <c r="W85" i="7"/>
  <c r="W84" i="7"/>
  <c r="V82" i="7"/>
  <c r="U82" i="7"/>
  <c r="R82" i="7"/>
  <c r="Q82" i="7"/>
  <c r="P82" i="7"/>
  <c r="O82" i="7"/>
  <c r="N82" i="7"/>
  <c r="M82" i="7"/>
  <c r="L82" i="7"/>
  <c r="I82" i="7"/>
  <c r="W81" i="7"/>
  <c r="W80" i="7"/>
  <c r="W79" i="7"/>
  <c r="W78" i="7"/>
  <c r="V77" i="7"/>
  <c r="U77" i="7"/>
  <c r="R77" i="7"/>
  <c r="Q77" i="7"/>
  <c r="P77" i="7"/>
  <c r="O77" i="7"/>
  <c r="N77" i="7"/>
  <c r="M77" i="7"/>
  <c r="L77" i="7"/>
  <c r="I77" i="7"/>
  <c r="W76" i="7"/>
  <c r="W75" i="7"/>
  <c r="W74" i="7"/>
  <c r="W73" i="7"/>
  <c r="V72" i="7"/>
  <c r="U72" i="7"/>
  <c r="R72" i="7"/>
  <c r="Q72" i="7"/>
  <c r="P72" i="7"/>
  <c r="O72" i="7"/>
  <c r="N72" i="7"/>
  <c r="M72" i="7"/>
  <c r="L72" i="7"/>
  <c r="I72" i="7"/>
  <c r="W71" i="7"/>
  <c r="W70" i="7"/>
  <c r="W69" i="7"/>
  <c r="W68" i="7"/>
  <c r="W67" i="7"/>
  <c r="V66" i="7"/>
  <c r="U66" i="7"/>
  <c r="R66" i="7"/>
  <c r="Q66" i="7"/>
  <c r="P66" i="7"/>
  <c r="O66" i="7"/>
  <c r="N66" i="7"/>
  <c r="M66" i="7"/>
  <c r="L66" i="7"/>
  <c r="I66" i="7"/>
  <c r="W65" i="7"/>
  <c r="W64" i="7"/>
  <c r="V62" i="7"/>
  <c r="U62" i="7"/>
  <c r="R62" i="7"/>
  <c r="O62" i="7"/>
  <c r="L62" i="7"/>
  <c r="I62" i="7"/>
  <c r="W61" i="7"/>
  <c r="W60" i="7"/>
  <c r="Q60" i="7"/>
  <c r="P60" i="7"/>
  <c r="N60" i="7"/>
  <c r="M60" i="7"/>
  <c r="W59" i="7"/>
  <c r="Q59" i="7"/>
  <c r="P59" i="7"/>
  <c r="N59" i="7"/>
  <c r="T59" i="7" s="1"/>
  <c r="M59" i="7"/>
  <c r="W58" i="7"/>
  <c r="W57" i="7"/>
  <c r="Q57" i="7"/>
  <c r="P57" i="7"/>
  <c r="N57" i="7"/>
  <c r="M57" i="7"/>
  <c r="S57" i="7" s="1"/>
  <c r="W56" i="7"/>
  <c r="Q56" i="7"/>
  <c r="P56" i="7"/>
  <c r="N56" i="7"/>
  <c r="M56" i="7"/>
  <c r="W55" i="7"/>
  <c r="U54" i="7"/>
  <c r="R54" i="7"/>
  <c r="O54" i="7"/>
  <c r="L54" i="7"/>
  <c r="I54" i="7"/>
  <c r="W53" i="7"/>
  <c r="Q53" i="7"/>
  <c r="P53" i="7"/>
  <c r="N53" i="7"/>
  <c r="M53" i="7"/>
  <c r="S53" i="7" s="1"/>
  <c r="W52" i="7"/>
  <c r="V52" i="7"/>
  <c r="V54" i="7" s="1"/>
  <c r="Q52" i="7"/>
  <c r="P52" i="7"/>
  <c r="N52" i="7"/>
  <c r="M52" i="7"/>
  <c r="W51" i="7"/>
  <c r="Q51" i="7"/>
  <c r="P51" i="7"/>
  <c r="N51" i="7"/>
  <c r="T51" i="7" s="1"/>
  <c r="M51" i="7"/>
  <c r="S51" i="7" s="1"/>
  <c r="W50" i="7"/>
  <c r="W49" i="7"/>
  <c r="Q49" i="7"/>
  <c r="P49" i="7"/>
  <c r="N49" i="7"/>
  <c r="T49" i="7" s="1"/>
  <c r="M49" i="7"/>
  <c r="V48" i="7"/>
  <c r="U48" i="7"/>
  <c r="R48" i="7"/>
  <c r="O48" i="7"/>
  <c r="L48" i="7"/>
  <c r="I48" i="7"/>
  <c r="W47" i="7"/>
  <c r="Q47" i="7"/>
  <c r="P47" i="7"/>
  <c r="N47" i="7"/>
  <c r="M47" i="7"/>
  <c r="W46" i="7"/>
  <c r="Q46" i="7"/>
  <c r="P46" i="7"/>
  <c r="N46" i="7"/>
  <c r="M46" i="7"/>
  <c r="S46" i="7" s="1"/>
  <c r="W45" i="7"/>
  <c r="W44" i="7"/>
  <c r="Q44" i="7"/>
  <c r="P44" i="7"/>
  <c r="N44" i="7"/>
  <c r="T44" i="7" s="1"/>
  <c r="M44" i="7"/>
  <c r="W43" i="7"/>
  <c r="V42" i="7"/>
  <c r="U42" i="7"/>
  <c r="R42" i="7"/>
  <c r="O42" i="7"/>
  <c r="L42" i="7"/>
  <c r="I42" i="7"/>
  <c r="W41" i="7"/>
  <c r="W40" i="7"/>
  <c r="Q40" i="7"/>
  <c r="P40" i="7"/>
  <c r="N40" i="7"/>
  <c r="M40" i="7"/>
  <c r="W39" i="7"/>
  <c r="Q39" i="7"/>
  <c r="P39" i="7"/>
  <c r="N39" i="7"/>
  <c r="T39" i="7" s="1"/>
  <c r="M39" i="7"/>
  <c r="S39" i="7" s="1"/>
  <c r="W38" i="7"/>
  <c r="Q38" i="7"/>
  <c r="P38" i="7"/>
  <c r="S38" i="7" s="1"/>
  <c r="N38" i="7"/>
  <c r="W37" i="7"/>
  <c r="Q37" i="7"/>
  <c r="P37" i="7"/>
  <c r="S37" i="7" s="1"/>
  <c r="N37" i="7"/>
  <c r="T37" i="7" s="1"/>
  <c r="W36" i="7"/>
  <c r="Q36" i="7"/>
  <c r="P36" i="7"/>
  <c r="N36" i="7"/>
  <c r="M36" i="7"/>
  <c r="S36" i="7" s="1"/>
  <c r="V35" i="7"/>
  <c r="U35" i="7"/>
  <c r="R35" i="7"/>
  <c r="O35" i="7"/>
  <c r="L35" i="7"/>
  <c r="I35" i="7"/>
  <c r="W34" i="7"/>
  <c r="Q34" i="7"/>
  <c r="P34" i="7"/>
  <c r="N34" i="7"/>
  <c r="T34" i="7" s="1"/>
  <c r="M34" i="7"/>
  <c r="W33" i="7"/>
  <c r="Q33" i="7"/>
  <c r="P33" i="7"/>
  <c r="N33" i="7"/>
  <c r="M33" i="7"/>
  <c r="W32" i="7"/>
  <c r="Q32" i="7"/>
  <c r="P32" i="7"/>
  <c r="N32" i="7"/>
  <c r="M32" i="7"/>
  <c r="W31" i="7"/>
  <c r="Q31" i="7"/>
  <c r="P31" i="7"/>
  <c r="N31" i="7"/>
  <c r="M31" i="7"/>
  <c r="S31" i="7" s="1"/>
  <c r="W30" i="7"/>
  <c r="Q30" i="7"/>
  <c r="P30" i="7"/>
  <c r="N30" i="7"/>
  <c r="M30" i="7"/>
  <c r="W29" i="7"/>
  <c r="Q29" i="7"/>
  <c r="P29" i="7"/>
  <c r="N29" i="7"/>
  <c r="M29" i="7"/>
  <c r="W28" i="7"/>
  <c r="W27" i="7"/>
  <c r="Q27" i="7"/>
  <c r="P27" i="7"/>
  <c r="N27" i="7"/>
  <c r="M27" i="7"/>
  <c r="S27" i="7" s="1"/>
  <c r="V25" i="7"/>
  <c r="U25" i="7"/>
  <c r="R25" i="7"/>
  <c r="O25" i="7"/>
  <c r="L25" i="7"/>
  <c r="I25" i="7"/>
  <c r="W24" i="7"/>
  <c r="N24" i="7"/>
  <c r="T24" i="7" s="1"/>
  <c r="M24" i="7"/>
  <c r="S24" i="7" s="1"/>
  <c r="W23" i="7"/>
  <c r="Q23" i="7"/>
  <c r="P23" i="7"/>
  <c r="N23" i="7"/>
  <c r="M23" i="7"/>
  <c r="W22" i="7"/>
  <c r="Q22" i="7"/>
  <c r="T22" i="7" s="1"/>
  <c r="P22" i="7"/>
  <c r="S22" i="7" s="1"/>
  <c r="W21" i="7"/>
  <c r="Q21" i="7"/>
  <c r="P21" i="7"/>
  <c r="N21" i="7"/>
  <c r="M21" i="7"/>
  <c r="U20" i="7"/>
  <c r="R20" i="7"/>
  <c r="O20" i="7"/>
  <c r="L20" i="7"/>
  <c r="I20" i="7"/>
  <c r="W19" i="7"/>
  <c r="Q19" i="7"/>
  <c r="P19" i="7"/>
  <c r="N19" i="7"/>
  <c r="M19" i="7"/>
  <c r="W18" i="7"/>
  <c r="W17" i="7"/>
  <c r="Q17" i="7"/>
  <c r="P17" i="7"/>
  <c r="N17" i="7"/>
  <c r="M17" i="7"/>
  <c r="W16" i="7"/>
  <c r="V16" i="7"/>
  <c r="V20" i="7" s="1"/>
  <c r="Q16" i="7"/>
  <c r="P16" i="7"/>
  <c r="P20" i="7" s="1"/>
  <c r="N16" i="7"/>
  <c r="T16" i="7" s="1"/>
  <c r="M16" i="7"/>
  <c r="V15" i="7"/>
  <c r="U15" i="7"/>
  <c r="R15" i="7"/>
  <c r="O15" i="7"/>
  <c r="L15" i="7"/>
  <c r="I15" i="7"/>
  <c r="W14" i="7"/>
  <c r="Q14" i="7"/>
  <c r="P14" i="7"/>
  <c r="S14" i="7" s="1"/>
  <c r="N14" i="7"/>
  <c r="W13" i="7"/>
  <c r="Q13" i="7"/>
  <c r="P13" i="7"/>
  <c r="N13" i="7"/>
  <c r="M13" i="7"/>
  <c r="W12" i="7"/>
  <c r="Q12" i="7"/>
  <c r="P12" i="7"/>
  <c r="S12" i="7" s="1"/>
  <c r="N12" i="7"/>
  <c r="W11" i="7"/>
  <c r="W10" i="7"/>
  <c r="Q10" i="7"/>
  <c r="P10" i="7"/>
  <c r="S10" i="7" s="1"/>
  <c r="N10" i="7"/>
  <c r="V9" i="7"/>
  <c r="U9" i="7"/>
  <c r="R9" i="7"/>
  <c r="O9" i="7"/>
  <c r="L9" i="7"/>
  <c r="I9" i="7"/>
  <c r="W8" i="7"/>
  <c r="Q8" i="7"/>
  <c r="P8" i="7"/>
  <c r="N8" i="7"/>
  <c r="M8" i="7"/>
  <c r="W7" i="7"/>
  <c r="Q7" i="7"/>
  <c r="P7" i="7"/>
  <c r="N7" i="7"/>
  <c r="M7" i="7"/>
  <c r="V6" i="7"/>
  <c r="W6" i="7" s="1"/>
  <c r="D6" i="7"/>
  <c r="E6" i="7" s="1"/>
  <c r="F6" i="7" s="1"/>
  <c r="N6" i="7" s="1"/>
  <c r="O6" i="7" s="1"/>
  <c r="P6" i="7" s="1"/>
  <c r="Q6" i="7" s="1"/>
  <c r="R6" i="7" s="1"/>
  <c r="S6" i="7" s="1"/>
  <c r="T6" i="7" s="1"/>
  <c r="S30" i="7" l="1"/>
  <c r="T33" i="7"/>
  <c r="T36" i="7"/>
  <c r="S7" i="7"/>
  <c r="T30" i="7"/>
  <c r="T56" i="7"/>
  <c r="T60" i="7"/>
  <c r="T123" i="7"/>
  <c r="T105" i="7"/>
  <c r="S134" i="7"/>
  <c r="S149" i="7"/>
  <c r="S156" i="7"/>
  <c r="T162" i="7"/>
  <c r="S191" i="7"/>
  <c r="S206" i="7"/>
  <c r="T31" i="7"/>
  <c r="S44" i="7"/>
  <c r="T53" i="7"/>
  <c r="T14" i="7"/>
  <c r="S17" i="7"/>
  <c r="S129" i="7"/>
  <c r="S186" i="7"/>
  <c r="S236" i="7"/>
  <c r="T242" i="7"/>
  <c r="T292" i="7"/>
  <c r="T38" i="7"/>
  <c r="T392" i="7"/>
  <c r="T420" i="7"/>
  <c r="T19" i="7"/>
  <c r="T29" i="7"/>
  <c r="S34" i="7"/>
  <c r="T47" i="7"/>
  <c r="S56" i="7"/>
  <c r="S60" i="7"/>
  <c r="T7" i="7"/>
  <c r="T10" i="7"/>
  <c r="T17" i="7"/>
  <c r="T27" i="7"/>
  <c r="T21" i="7"/>
  <c r="T23" i="7"/>
  <c r="S33" i="7"/>
  <c r="T46" i="7"/>
  <c r="S49" i="7"/>
  <c r="S59" i="7"/>
  <c r="T430" i="7"/>
  <c r="T224" i="7"/>
  <c r="T262" i="7"/>
  <c r="S275" i="7"/>
  <c r="S325" i="7"/>
  <c r="T336" i="7"/>
  <c r="T387" i="7"/>
  <c r="S400" i="7"/>
  <c r="T437" i="7"/>
  <c r="S8" i="7"/>
  <c r="S32" i="7"/>
  <c r="S40" i="7"/>
  <c r="S52" i="7"/>
  <c r="T57" i="7"/>
  <c r="T119" i="7"/>
  <c r="T219" i="7"/>
  <c r="S232" i="7"/>
  <c r="T269" i="7"/>
  <c r="T331" i="7"/>
  <c r="S344" i="7"/>
  <c r="T381" i="7"/>
  <c r="T8" i="7"/>
  <c r="T12" i="7"/>
  <c r="S19" i="7"/>
  <c r="S29" i="7"/>
  <c r="T32" i="7"/>
  <c r="T40" i="7"/>
  <c r="S47" i="7"/>
  <c r="T52" i="7"/>
  <c r="T176" i="7"/>
  <c r="T288" i="7"/>
  <c r="T13" i="7"/>
  <c r="S21" i="7"/>
  <c r="S23" i="7"/>
  <c r="S66" i="7"/>
  <c r="T72" i="7"/>
  <c r="T77" i="7"/>
  <c r="T82" i="7"/>
  <c r="T92" i="7"/>
  <c r="T99" i="7"/>
  <c r="S105" i="7"/>
  <c r="T443" i="7"/>
  <c r="T448" i="7"/>
  <c r="T455" i="7"/>
  <c r="W476" i="7"/>
  <c r="M20" i="7"/>
  <c r="S20" i="7" s="1"/>
  <c r="S16" i="7"/>
  <c r="T66" i="7"/>
  <c r="S72" i="7"/>
  <c r="S77" i="7"/>
  <c r="S82" i="7"/>
  <c r="S92" i="7"/>
  <c r="S99" i="7"/>
  <c r="M348" i="7"/>
  <c r="S348" i="7" s="1"/>
  <c r="S346" i="7"/>
  <c r="N354" i="7"/>
  <c r="T354" i="7" s="1"/>
  <c r="T350" i="7"/>
  <c r="N374" i="7"/>
  <c r="T374" i="7" s="1"/>
  <c r="T368" i="7"/>
  <c r="M404" i="7"/>
  <c r="S404" i="7" s="1"/>
  <c r="S402" i="7"/>
  <c r="M15" i="7"/>
  <c r="S13" i="7"/>
  <c r="T111" i="7"/>
  <c r="S119" i="7"/>
  <c r="S123" i="7"/>
  <c r="T129" i="7"/>
  <c r="T134" i="7"/>
  <c r="T139" i="7"/>
  <c r="T149" i="7"/>
  <c r="T156" i="7"/>
  <c r="S162" i="7"/>
  <c r="T168" i="7"/>
  <c r="S176" i="7"/>
  <c r="S180" i="7"/>
  <c r="T186" i="7"/>
  <c r="T191" i="7"/>
  <c r="T196" i="7"/>
  <c r="T206" i="7"/>
  <c r="T213" i="7"/>
  <c r="S219" i="7"/>
  <c r="S224" i="7"/>
  <c r="T232" i="7"/>
  <c r="T236" i="7"/>
  <c r="S242" i="7"/>
  <c r="S247" i="7"/>
  <c r="S252" i="7"/>
  <c r="S262" i="7"/>
  <c r="S269" i="7"/>
  <c r="T275" i="7"/>
  <c r="T280" i="7"/>
  <c r="S288" i="7"/>
  <c r="S292" i="7"/>
  <c r="T298" i="7"/>
  <c r="T303" i="7"/>
  <c r="T308" i="7"/>
  <c r="T318" i="7"/>
  <c r="T325" i="7"/>
  <c r="S331" i="7"/>
  <c r="S336" i="7"/>
  <c r="T344" i="7"/>
  <c r="N348" i="7"/>
  <c r="T348" i="7" s="1"/>
  <c r="T346" i="7"/>
  <c r="M354" i="7"/>
  <c r="S354" i="7" s="1"/>
  <c r="S350" i="7"/>
  <c r="S359" i="7"/>
  <c r="S364" i="7"/>
  <c r="M374" i="7"/>
  <c r="S374" i="7" s="1"/>
  <c r="S368" i="7"/>
  <c r="S381" i="7"/>
  <c r="S387" i="7"/>
  <c r="S392" i="7"/>
  <c r="T400" i="7"/>
  <c r="N404" i="7"/>
  <c r="T404" i="7" s="1"/>
  <c r="T402" i="7"/>
  <c r="S410" i="7"/>
  <c r="S415" i="7"/>
  <c r="S420" i="7"/>
  <c r="S430" i="7"/>
  <c r="S437" i="7"/>
  <c r="S443" i="7"/>
  <c r="S448" i="7"/>
  <c r="S455" i="7"/>
  <c r="T511" i="7"/>
  <c r="S511" i="7"/>
  <c r="N20" i="7"/>
  <c r="Q20" i="7"/>
  <c r="N62" i="7"/>
  <c r="Q62" i="7"/>
  <c r="W511" i="7"/>
  <c r="W66" i="7"/>
  <c r="W105" i="7"/>
  <c r="W119" i="7"/>
  <c r="W123" i="7"/>
  <c r="W168" i="7"/>
  <c r="W180" i="7"/>
  <c r="W186" i="7"/>
  <c r="W224" i="7"/>
  <c r="W232" i="7"/>
  <c r="W247" i="7"/>
  <c r="W252" i="7"/>
  <c r="W262" i="7"/>
  <c r="W269" i="7"/>
  <c r="W288" i="7"/>
  <c r="W292" i="7"/>
  <c r="W336" i="7"/>
  <c r="W359" i="7"/>
  <c r="W364" i="7"/>
  <c r="W387" i="7"/>
  <c r="O365" i="7"/>
  <c r="O401" i="7" s="1"/>
  <c r="I421" i="7"/>
  <c r="I456" i="7" s="1"/>
  <c r="U309" i="7"/>
  <c r="U345" i="7" s="1"/>
  <c r="N9" i="7"/>
  <c r="W15" i="7"/>
  <c r="N15" i="7"/>
  <c r="M25" i="7"/>
  <c r="P25" i="7"/>
  <c r="W25" i="7"/>
  <c r="Q25" i="7"/>
  <c r="M35" i="7"/>
  <c r="P35" i="7"/>
  <c r="W35" i="7"/>
  <c r="Q35" i="7"/>
  <c r="M42" i="7"/>
  <c r="W42" i="7"/>
  <c r="W48" i="7"/>
  <c r="N48" i="7"/>
  <c r="Q48" i="7"/>
  <c r="P48" i="7"/>
  <c r="W77" i="7"/>
  <c r="W156" i="7"/>
  <c r="W162" i="7"/>
  <c r="W176" i="7"/>
  <c r="W191" i="7"/>
  <c r="W196" i="7"/>
  <c r="W206" i="7"/>
  <c r="W213" i="7"/>
  <c r="W236" i="7"/>
  <c r="W242" i="7"/>
  <c r="W280" i="7"/>
  <c r="N309" i="7"/>
  <c r="W298" i="7"/>
  <c r="W303" i="7"/>
  <c r="W308" i="7"/>
  <c r="L421" i="7"/>
  <c r="L456" i="7" s="1"/>
  <c r="R421" i="7"/>
  <c r="R456" i="7" s="1"/>
  <c r="V421" i="7"/>
  <c r="V456" i="7" s="1"/>
  <c r="W415" i="7"/>
  <c r="W420" i="7"/>
  <c r="W430" i="7"/>
  <c r="W437" i="7"/>
  <c r="W448" i="7"/>
  <c r="W455" i="7"/>
  <c r="W354" i="7"/>
  <c r="W365" i="7" s="1"/>
  <c r="M9" i="7"/>
  <c r="S9" i="7" s="1"/>
  <c r="P9" i="7"/>
  <c r="W9" i="7"/>
  <c r="Q9" i="7"/>
  <c r="I26" i="7"/>
  <c r="I63" i="7" s="1"/>
  <c r="O26" i="7"/>
  <c r="O63" i="7" s="1"/>
  <c r="U26" i="7"/>
  <c r="U63" i="7" s="1"/>
  <c r="Q15" i="7"/>
  <c r="W20" i="7"/>
  <c r="N25" i="7"/>
  <c r="N35" i="7"/>
  <c r="N42" i="7"/>
  <c r="Q42" i="7"/>
  <c r="P42" i="7"/>
  <c r="M48" i="7"/>
  <c r="M54" i="7"/>
  <c r="P54" i="7"/>
  <c r="W54" i="7"/>
  <c r="N54" i="7"/>
  <c r="M62" i="7"/>
  <c r="P62" i="7"/>
  <c r="W72" i="7"/>
  <c r="W92" i="7"/>
  <c r="W99" i="7"/>
  <c r="W111" i="7"/>
  <c r="W129" i="7"/>
  <c r="W134" i="7"/>
  <c r="W139" i="7"/>
  <c r="W149" i="7"/>
  <c r="W275" i="7"/>
  <c r="W219" i="7"/>
  <c r="W318" i="7"/>
  <c r="W325" i="7"/>
  <c r="W331" i="7"/>
  <c r="W344" i="7"/>
  <c r="W348" i="7"/>
  <c r="W374" i="7"/>
  <c r="W381" i="7"/>
  <c r="W392" i="7"/>
  <c r="W400" i="7"/>
  <c r="W410" i="7"/>
  <c r="W443" i="7"/>
  <c r="O83" i="7"/>
  <c r="O120" i="7" s="1"/>
  <c r="V83" i="7"/>
  <c r="V120" i="7" s="1"/>
  <c r="I140" i="7"/>
  <c r="I177" i="7" s="1"/>
  <c r="M140" i="7"/>
  <c r="O140" i="7"/>
  <c r="O177" i="7" s="1"/>
  <c r="Q140" i="7"/>
  <c r="Q177" i="7" s="1"/>
  <c r="U140" i="7"/>
  <c r="U177" i="7" s="1"/>
  <c r="L253" i="7"/>
  <c r="L289" i="7" s="1"/>
  <c r="N253" i="7"/>
  <c r="P253" i="7"/>
  <c r="P289" i="7" s="1"/>
  <c r="R253" i="7"/>
  <c r="R289" i="7" s="1"/>
  <c r="V253" i="7"/>
  <c r="V289" i="7" s="1"/>
  <c r="L26" i="7"/>
  <c r="L63" i="7" s="1"/>
  <c r="R26" i="7"/>
  <c r="R63" i="7" s="1"/>
  <c r="V26" i="7"/>
  <c r="V63" i="7" s="1"/>
  <c r="I83" i="7"/>
  <c r="I120" i="7" s="1"/>
  <c r="M83" i="7"/>
  <c r="Q83" i="7"/>
  <c r="Q120" i="7" s="1"/>
  <c r="U83" i="7"/>
  <c r="U120" i="7" s="1"/>
  <c r="L140" i="7"/>
  <c r="L177" i="7" s="1"/>
  <c r="N140" i="7"/>
  <c r="P140" i="7"/>
  <c r="P177" i="7" s="1"/>
  <c r="R140" i="7"/>
  <c r="R177" i="7" s="1"/>
  <c r="V140" i="7"/>
  <c r="V177" i="7" s="1"/>
  <c r="L197" i="7"/>
  <c r="L233" i="7" s="1"/>
  <c r="N197" i="7"/>
  <c r="P197" i="7"/>
  <c r="P233" i="7" s="1"/>
  <c r="R197" i="7"/>
  <c r="R233" i="7" s="1"/>
  <c r="V197" i="7"/>
  <c r="V233" i="7" s="1"/>
  <c r="I197" i="7"/>
  <c r="I233" i="7" s="1"/>
  <c r="M197" i="7"/>
  <c r="O197" i="7"/>
  <c r="O233" i="7" s="1"/>
  <c r="Q197" i="7"/>
  <c r="Q233" i="7" s="1"/>
  <c r="U197" i="7"/>
  <c r="U233" i="7" s="1"/>
  <c r="V309" i="7"/>
  <c r="V345" i="7" s="1"/>
  <c r="I365" i="7"/>
  <c r="I401" i="7" s="1"/>
  <c r="Q365" i="7"/>
  <c r="Q401" i="7" s="1"/>
  <c r="U365" i="7"/>
  <c r="U401" i="7" s="1"/>
  <c r="L365" i="7"/>
  <c r="L401" i="7" s="1"/>
  <c r="R365" i="7"/>
  <c r="R401" i="7" s="1"/>
  <c r="V365" i="7"/>
  <c r="V401" i="7" s="1"/>
  <c r="Q421" i="7"/>
  <c r="Q456" i="7" s="1"/>
  <c r="O421" i="7"/>
  <c r="O456" i="7" s="1"/>
  <c r="U421" i="7"/>
  <c r="U456" i="7" s="1"/>
  <c r="I253" i="7"/>
  <c r="I289" i="7" s="1"/>
  <c r="M253" i="7"/>
  <c r="O253" i="7"/>
  <c r="O289" i="7" s="1"/>
  <c r="Q253" i="7"/>
  <c r="Q289" i="7" s="1"/>
  <c r="U253" i="7"/>
  <c r="U289" i="7" s="1"/>
  <c r="L309" i="7"/>
  <c r="L345" i="7" s="1"/>
  <c r="P309" i="7"/>
  <c r="P345" i="7" s="1"/>
  <c r="R309" i="7"/>
  <c r="R345" i="7" s="1"/>
  <c r="P15" i="7"/>
  <c r="Q54" i="7"/>
  <c r="W62" i="7"/>
  <c r="L83" i="7"/>
  <c r="L120" i="7" s="1"/>
  <c r="N83" i="7"/>
  <c r="P83" i="7"/>
  <c r="P120" i="7" s="1"/>
  <c r="R83" i="7"/>
  <c r="R120" i="7" s="1"/>
  <c r="W82" i="7"/>
  <c r="I309" i="7"/>
  <c r="I345" i="7" s="1"/>
  <c r="M309" i="7"/>
  <c r="O309" i="7"/>
  <c r="O345" i="7" s="1"/>
  <c r="Q309" i="7"/>
  <c r="Q345" i="7" s="1"/>
  <c r="M365" i="7"/>
  <c r="P365" i="7"/>
  <c r="P401" i="7" s="1"/>
  <c r="W404" i="7"/>
  <c r="W83" i="7" l="1"/>
  <c r="N421" i="7"/>
  <c r="N26" i="7"/>
  <c r="T25" i="7"/>
  <c r="S62" i="7"/>
  <c r="T42" i="7"/>
  <c r="W309" i="7"/>
  <c r="W345" i="7" s="1"/>
  <c r="T48" i="7"/>
  <c r="S54" i="7"/>
  <c r="W253" i="7"/>
  <c r="W289" i="7" s="1"/>
  <c r="W120" i="7"/>
  <c r="W401" i="7"/>
  <c r="W421" i="7"/>
  <c r="W456" i="7" s="1"/>
  <c r="P26" i="7"/>
  <c r="P63" i="7" s="1"/>
  <c r="S48" i="7"/>
  <c r="T35" i="7"/>
  <c r="N365" i="7"/>
  <c r="N401" i="7" s="1"/>
  <c r="T401" i="7" s="1"/>
  <c r="M421" i="7"/>
  <c r="M456" i="7" s="1"/>
  <c r="S456" i="7" s="1"/>
  <c r="M345" i="7"/>
  <c r="S345" i="7" s="1"/>
  <c r="S309" i="7"/>
  <c r="N120" i="7"/>
  <c r="T120" i="7" s="1"/>
  <c r="T83" i="7"/>
  <c r="M120" i="7"/>
  <c r="S120" i="7" s="1"/>
  <c r="S83" i="7"/>
  <c r="N289" i="7"/>
  <c r="T289" i="7" s="1"/>
  <c r="T253" i="7"/>
  <c r="M177" i="7"/>
  <c r="S177" i="7" s="1"/>
  <c r="S140" i="7"/>
  <c r="T54" i="7"/>
  <c r="S42" i="7"/>
  <c r="S35" i="7"/>
  <c r="S25" i="7"/>
  <c r="S15" i="7"/>
  <c r="M401" i="7"/>
  <c r="S401" i="7" s="1"/>
  <c r="S365" i="7"/>
  <c r="N63" i="7"/>
  <c r="M289" i="7"/>
  <c r="S289" i="7" s="1"/>
  <c r="S253" i="7"/>
  <c r="M233" i="7"/>
  <c r="S233" i="7" s="1"/>
  <c r="S197" i="7"/>
  <c r="N233" i="7"/>
  <c r="T233" i="7" s="1"/>
  <c r="T197" i="7"/>
  <c r="N177" i="7"/>
  <c r="T177" i="7" s="1"/>
  <c r="T140" i="7"/>
  <c r="N456" i="7"/>
  <c r="T456" i="7" s="1"/>
  <c r="T421" i="7"/>
  <c r="N345" i="7"/>
  <c r="T345" i="7" s="1"/>
  <c r="T309" i="7"/>
  <c r="T15" i="7"/>
  <c r="T9" i="7"/>
  <c r="T62" i="7"/>
  <c r="T20" i="7"/>
  <c r="W197" i="7"/>
  <c r="W233" i="7" s="1"/>
  <c r="W140" i="7"/>
  <c r="W177" i="7" s="1"/>
  <c r="M26" i="7"/>
  <c r="Q26" i="7"/>
  <c r="Q63" i="7" s="1"/>
  <c r="W26" i="7"/>
  <c r="W63" i="7" s="1"/>
  <c r="S421" i="7" l="1"/>
  <c r="T365" i="7"/>
  <c r="T26" i="7"/>
  <c r="M63" i="7"/>
  <c r="S63" i="7" s="1"/>
  <c r="S26" i="7"/>
  <c r="T63" i="7"/>
</calcChain>
</file>

<file path=xl/sharedStrings.xml><?xml version="1.0" encoding="utf-8"?>
<sst xmlns="http://schemas.openxmlformats.org/spreadsheetml/2006/main" count="3006" uniqueCount="292">
  <si>
    <t>Schuljahr</t>
  </si>
  <si>
    <t>1. Jahrgang</t>
  </si>
  <si>
    <t>2. Jahrgang</t>
  </si>
  <si>
    <t>3. Jahrgang</t>
  </si>
  <si>
    <t>4. Jahrgang</t>
  </si>
  <si>
    <t>Schülerinnen und Schüler</t>
  </si>
  <si>
    <t>Kl.</t>
  </si>
  <si>
    <t>Sch.</t>
  </si>
  <si>
    <t>w.</t>
  </si>
  <si>
    <t>gesamt</t>
  </si>
  <si>
    <t>2010/2011</t>
  </si>
  <si>
    <t>Annette-v.-Droste-Hülshoff-Schule Angelmodde</t>
  </si>
  <si>
    <t>Annette-v.-Droste-Hülshoff-Schule Nienberge</t>
  </si>
  <si>
    <t>Clemensschule Hiltrup</t>
  </si>
  <si>
    <t>Davertschule Amelsbüren</t>
  </si>
  <si>
    <t>Gottfried-von-Cappenberg-Schule</t>
  </si>
  <si>
    <t>Grundschule Loevelingloh</t>
  </si>
  <si>
    <t>Grundschule Sprakel</t>
  </si>
  <si>
    <t>Hermannschule</t>
  </si>
  <si>
    <t>Idaschule</t>
  </si>
  <si>
    <t>Kardinal-von-Galen-Schule Handorf</t>
  </si>
  <si>
    <t>Kreuzschule</t>
  </si>
  <si>
    <t>Marienschule Hiltrup</t>
  </si>
  <si>
    <t>Marienschule Roxel</t>
  </si>
  <si>
    <t>Martinischule</t>
  </si>
  <si>
    <t>Mauritzschule</t>
  </si>
  <si>
    <t>Michaelschule</t>
  </si>
  <si>
    <t>Overbergschule</t>
  </si>
  <si>
    <t>Pleisterschule</t>
  </si>
  <si>
    <t>Theresienschule</t>
  </si>
  <si>
    <t>Thomas-Morus-Schule</t>
  </si>
  <si>
    <t>Bodelschwinghschule</t>
  </si>
  <si>
    <t>Johannisschule</t>
  </si>
  <si>
    <t>Martin-Luther-Schule</t>
  </si>
  <si>
    <t>Pestalozzischule</t>
  </si>
  <si>
    <t>Astrid-Lindgren-Schule Gelmer</t>
  </si>
  <si>
    <t>Dietrich-Bonhoeffer-Schule</t>
  </si>
  <si>
    <t>Eichendorffschule Angelmodde</t>
  </si>
  <si>
    <t>Ludgerusschule Albachten</t>
  </si>
  <si>
    <t>Margaretenschule</t>
  </si>
  <si>
    <t>Matthias-Claudius-Schule Handorf</t>
  </si>
  <si>
    <t>Mosaik-Schule</t>
  </si>
  <si>
    <t>Paul-Gerhardt-Schule Hiltrup</t>
  </si>
  <si>
    <t>Pötterhoekschule</t>
  </si>
  <si>
    <t>Grundschule</t>
  </si>
  <si>
    <r>
      <t>Melanchthonschule</t>
    </r>
    <r>
      <rPr>
        <sz val="8"/>
        <rFont val="Arial"/>
        <family val="2"/>
      </rPr>
      <t xml:space="preserve"> 
Schuleingangsphase: jahrgangsübergr. Mischkl. mit jahrgangsbez. Unterrichtsorg. </t>
    </r>
  </si>
  <si>
    <r>
      <t xml:space="preserve">Aegidii-Ludgeri-Schule 
</t>
    </r>
    <r>
      <rPr>
        <sz val="8"/>
        <rFont val="Arial"/>
        <family val="2"/>
      </rPr>
      <t>Es wurde eine Montessori-Klasse mit 21 Schülerinnen und Schülern gebildet.</t>
    </r>
  </si>
  <si>
    <t>Stadtteil</t>
  </si>
  <si>
    <t>Aegidii</t>
  </si>
  <si>
    <t>Angelmodde</t>
  </si>
  <si>
    <t>Nienberge</t>
  </si>
  <si>
    <t>Hiltrup-Mitte</t>
  </si>
  <si>
    <t>Amelsbüren</t>
  </si>
  <si>
    <t>Uppenberg</t>
  </si>
  <si>
    <t>Düesberg</t>
  </si>
  <si>
    <r>
      <t xml:space="preserve">Dreifaltigkeitsschule 
</t>
    </r>
    <r>
      <rPr>
        <sz val="8"/>
        <rFont val="Arial"/>
        <family val="2"/>
      </rPr>
      <t>jahrgangsübergreifender Unterricht</t>
    </r>
  </si>
  <si>
    <t>Sprakel</t>
  </si>
  <si>
    <t>Schützenhof</t>
  </si>
  <si>
    <t>Gremmendorf-Ost</t>
  </si>
  <si>
    <t>Handorf</t>
  </si>
  <si>
    <t>Kreuz</t>
  </si>
  <si>
    <t>Hiltrup-West</t>
  </si>
  <si>
    <t>Hiltrup-Ost</t>
  </si>
  <si>
    <t>Roxel</t>
  </si>
  <si>
    <t>Martini</t>
  </si>
  <si>
    <t>Mauritz-Mitte</t>
  </si>
  <si>
    <t>Gievenbeck</t>
  </si>
  <si>
    <r>
      <t>Nikolaischule Wolbeck</t>
    </r>
    <r>
      <rPr>
        <sz val="8"/>
        <rFont val="Arial"/>
        <family val="2"/>
      </rPr>
      <t xml:space="preserve"> 
1. JG: 1 jahrgangsübergr. Mischklasse,
1.-4. JG: jew. 1 jahrgangsübergr. Integr.-Kl.</t>
    </r>
  </si>
  <si>
    <t>Wolbeck</t>
  </si>
  <si>
    <t>Coerde</t>
  </si>
  <si>
    <t>Hansaplatz</t>
  </si>
  <si>
    <t>Mauritz-Ost</t>
  </si>
  <si>
    <t>Sentrup</t>
  </si>
  <si>
    <t>Rumphorst</t>
  </si>
  <si>
    <t>Mauritz-West</t>
  </si>
  <si>
    <t>Josef</t>
  </si>
  <si>
    <t>Paul-Schneider-Schule</t>
  </si>
  <si>
    <t>Kinderhaus-Ost</t>
  </si>
  <si>
    <t>Gelmer-Dyckburg</t>
  </si>
  <si>
    <t>Aaseestadt</t>
  </si>
  <si>
    <t>Kinderhaus-West</t>
  </si>
  <si>
    <t>Berg Fidel</t>
  </si>
  <si>
    <r>
      <t>Grundschule Berg Fidel</t>
    </r>
    <r>
      <rPr>
        <sz val="9"/>
        <rFont val="Arial"/>
        <family val="2"/>
      </rPr>
      <t xml:space="preserve"> 
</t>
    </r>
    <r>
      <rPr>
        <sz val="8"/>
        <rFont val="Arial"/>
        <family val="2"/>
      </rPr>
      <t>JG 1 - 4:   9 jg.-übergr. Integr.-Kl.,     
davon 4 mit Ganztagsunterricht</t>
    </r>
  </si>
  <si>
    <t>Albachten</t>
  </si>
  <si>
    <r>
      <t>Grundschule Kinderhaus-West</t>
    </r>
    <r>
      <rPr>
        <sz val="8"/>
        <rFont val="Arial"/>
        <family val="2"/>
      </rPr>
      <t xml:space="preserve"> Schuleingangsphase: jahrgangsübergr. Mischkl. mit jahrgangsbez. Unterrichtsorg.</t>
    </r>
  </si>
  <si>
    <t>Geist</t>
  </si>
  <si>
    <r>
      <t xml:space="preserve">Matthias-Claudius-Schule  
</t>
    </r>
    <r>
      <rPr>
        <sz val="8"/>
        <rFont val="Arial"/>
        <family val="2"/>
      </rPr>
      <t>JG 1: 2 Integr.-Kl., JG 2 - 4: jew. 1 Integr.-Kl.</t>
    </r>
  </si>
  <si>
    <r>
      <t xml:space="preserve">Grundschule am Kinderbach
</t>
    </r>
    <r>
      <rPr>
        <sz val="8"/>
        <rFont val="Arial"/>
        <family val="2"/>
      </rPr>
      <t>Schuleingangsphase: jahrgangsübergr. Mischkl. mit jahrgangsbez. Unterrichtsorg.</t>
    </r>
  </si>
  <si>
    <r>
      <t xml:space="preserve">Peter-Wust-Schule </t>
    </r>
    <r>
      <rPr>
        <sz val="8"/>
        <rFont val="Arial"/>
        <family val="2"/>
      </rPr>
      <t xml:space="preserve">Schuleingangsphase: jahrgangsübergr. Mischkl. mit jahrgangsbez. Unterrichtsorg.      </t>
    </r>
  </si>
  <si>
    <t>Mecklenbeck</t>
  </si>
  <si>
    <r>
      <t xml:space="preserve">Norbertschule  
</t>
    </r>
    <r>
      <rPr>
        <sz val="8"/>
        <rFont val="Arial"/>
        <family val="2"/>
      </rPr>
      <t>jg-übergr. U im 1., 2. u. tlw.  3. JG (1 Integr.-Kl., 5 Mischkl.), 3 Integr.-Kl. im 3. und 4. JG</t>
    </r>
  </si>
  <si>
    <r>
      <t xml:space="preserve">Wartburgschule 
</t>
    </r>
    <r>
      <rPr>
        <sz val="8"/>
        <rFont val="Arial"/>
        <family val="2"/>
      </rPr>
      <t>JG 1/2: davon 2 jg.-übergr. Integr.-Kl. u. 6 jg.-übergr. Mischkl., in allen Kl.  Ganztags-U.  
JG 3/4: davon 6 jg.-übergr. Integr.-Kl. u. 2 jg.-übergr. Mischkl., in 2 Integrationskl. Halbtags- sonst Ganztagsunterricht</t>
    </r>
  </si>
  <si>
    <t xml:space="preserve">Gesamt Stadtbezirk Mitte, Teilbereich Altstadt   </t>
  </si>
  <si>
    <t xml:space="preserve">Gesamt Stadtbezirk Mitte, Teilbereich Süd   </t>
  </si>
  <si>
    <t xml:space="preserve">Gesamt Stadtbezirk Mitte, Teilbereich Nordost   </t>
  </si>
  <si>
    <t xml:space="preserve">Gesamt Stadtbezirk Mitte   </t>
  </si>
  <si>
    <t xml:space="preserve">Gesamt Stadtbezirk West   </t>
  </si>
  <si>
    <t xml:space="preserve">Gesamt Stadtbezirk Ost   </t>
  </si>
  <si>
    <t xml:space="preserve">Gesamt Stadtbezirk Nord   </t>
  </si>
  <si>
    <t xml:space="preserve">Gesamt Stadtbezirk Südost   </t>
  </si>
  <si>
    <t xml:space="preserve">Gesamt Stadtbezirk Hiltrup   </t>
  </si>
  <si>
    <t xml:space="preserve">Gesamt Stadtbezirk Mitte, Teilbereich Innenstadtring  </t>
  </si>
  <si>
    <t xml:space="preserve">Gesamt Stadt Münster   </t>
  </si>
  <si>
    <r>
      <t xml:space="preserve">Ludgerusschule Hiltrup 
</t>
    </r>
    <r>
      <rPr>
        <sz val="8"/>
        <rFont val="Arial"/>
        <family val="2"/>
      </rPr>
      <t>Es wurde eine Integr.-Kl. pro JG gebildet.</t>
    </r>
  </si>
  <si>
    <t>Schul-
art</t>
  </si>
  <si>
    <t>RK</t>
  </si>
  <si>
    <t>EV</t>
  </si>
  <si>
    <t>GM</t>
  </si>
  <si>
    <t>2011/2012</t>
  </si>
  <si>
    <t>Ludgerusschule Hiltrup</t>
  </si>
  <si>
    <t>Grundschule am Kinderbach</t>
  </si>
  <si>
    <t>Peter-Wust-Schule</t>
  </si>
  <si>
    <r>
      <t xml:space="preserve">Aegidii-Ludgeri-Schule 
</t>
    </r>
    <r>
      <rPr>
        <sz val="8"/>
        <rFont val="Arial"/>
        <family val="2"/>
      </rPr>
      <t>Es wurde eine jg.-übergr. Montessori-Klasse mit 22 Schüler/innen gebildet.</t>
    </r>
  </si>
  <si>
    <r>
      <t xml:space="preserve">Pötterhoekschule
</t>
    </r>
    <r>
      <rPr>
        <sz val="8"/>
        <rFont val="Arial"/>
        <family val="2"/>
      </rPr>
      <t>JG 2: 2 Integr.-Kl., JG 3: 1 Integr.-Kl.</t>
    </r>
  </si>
  <si>
    <r>
      <t xml:space="preserve">Mosaik-Schule
</t>
    </r>
    <r>
      <rPr>
        <sz val="8"/>
        <rFont val="Arial"/>
        <family val="2"/>
      </rPr>
      <t>JG 1: 2 Integrationsklassen</t>
    </r>
  </si>
  <si>
    <r>
      <t xml:space="preserve">Wartburgschule 
</t>
    </r>
    <r>
      <rPr>
        <sz val="8"/>
        <rFont val="Arial"/>
        <family val="2"/>
      </rPr>
      <t>JG 1/2: davon 2 jg.-übergr. Integr.-Kl. u. 
6 jg.-übergr. Mischkl.,
JG 3/4: davon 3 jg.-übergr. Integr.-Kl. u. 
5 jg.-übergr. Mischkl.</t>
    </r>
  </si>
  <si>
    <r>
      <t>Melanchthonschule</t>
    </r>
    <r>
      <rPr>
        <sz val="8"/>
        <rFont val="Arial"/>
        <family val="2"/>
      </rPr>
      <t xml:space="preserve"> 
JG 1 u. JG 3: jeweils 2 Integr.-Kl., 
JG 4: 1 Integr.-Kl.</t>
    </r>
  </si>
  <si>
    <r>
      <t xml:space="preserve">Paul-Schneider-Schule
</t>
    </r>
    <r>
      <rPr>
        <sz val="8"/>
        <rFont val="Arial"/>
        <family val="2"/>
      </rPr>
      <t>JG 1 bis JG 3: Integr.-Kl., JG 4: 1 Integr.-Kl.</t>
    </r>
  </si>
  <si>
    <r>
      <t>Eichendorffschule Angelmodde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JG 1 u. JG 3: jew. 1 Integr.-Kl.</t>
    </r>
  </si>
  <si>
    <r>
      <t>Nikolaischule Wolbeck</t>
    </r>
    <r>
      <rPr>
        <sz val="8"/>
        <rFont val="Arial"/>
        <family val="2"/>
      </rPr>
      <t xml:space="preserve"> 
JG 1 - JG 4: jew. 1 Integr.-Kl.</t>
    </r>
  </si>
  <si>
    <r>
      <t>Grundschule Berg Fidel</t>
    </r>
    <r>
      <rPr>
        <sz val="9"/>
        <rFont val="Arial"/>
        <family val="2"/>
      </rPr>
      <t xml:space="preserve"> 
</t>
    </r>
    <r>
      <rPr>
        <sz val="8"/>
        <rFont val="Arial"/>
        <family val="2"/>
      </rPr>
      <t>JG 1 - JG 4:   9 jg.-übergr. Integr.-Kl.,     
davon 4 mit Ganztagsunterricht</t>
    </r>
  </si>
  <si>
    <r>
      <t xml:space="preserve">Matthias-Claudius-Schule  
</t>
    </r>
    <r>
      <rPr>
        <sz val="8"/>
        <rFont val="Arial"/>
        <family val="2"/>
      </rPr>
      <t>JG 1 - JG 2: jew. 2 Integr.-Kl., 
JG 3 - JG 4: jew. 1 Integr.-Kl.</t>
    </r>
  </si>
  <si>
    <r>
      <t>Grundschule Kinderhaus-West</t>
    </r>
    <r>
      <rPr>
        <sz val="8"/>
        <rFont val="Arial"/>
        <family val="2"/>
      </rPr>
      <t xml:space="preserve"> 
Schuleingangsphase: jg-übergr. Mischkl. 
mit jg-bezogener Unterrichtsorg. 
JG 3 3 u. JG 4 1 jg-übergr. Mischkl..</t>
    </r>
  </si>
  <si>
    <r>
      <t xml:space="preserve">Dietrich-Bonhoeffer-Schule
</t>
    </r>
    <r>
      <rPr>
        <sz val="8"/>
        <rFont val="Arial"/>
        <family val="2"/>
      </rPr>
      <t>JG 1: 1 Integr.-Kl.</t>
    </r>
  </si>
  <si>
    <r>
      <t xml:space="preserve">Dreifaltigkeitsschule 
</t>
    </r>
    <r>
      <rPr>
        <sz val="8"/>
        <rFont val="Arial"/>
        <family val="2"/>
      </rPr>
      <t>JG 1 - JG 2: jg.-übergr. Unterricht</t>
    </r>
  </si>
  <si>
    <r>
      <t xml:space="preserve">Norbertschule  
</t>
    </r>
    <r>
      <rPr>
        <sz val="8"/>
        <rFont val="Arial"/>
        <family val="2"/>
      </rPr>
      <t xml:space="preserve">JG 1 u. JG 2: jg-übergr. U 
(2 Integr.-Kl., 4 Mischkl.), 
JG 3 u. JG 4: je 2 Integr.-Kl. </t>
    </r>
  </si>
  <si>
    <r>
      <t xml:space="preserve">Margaretenschule
</t>
    </r>
    <r>
      <rPr>
        <sz val="8"/>
        <rFont val="Arial"/>
        <family val="2"/>
      </rPr>
      <t>JG 3 u. JG 4: jew. 1 Integr.-Kl.</t>
    </r>
  </si>
  <si>
    <t>2012/2013</t>
  </si>
  <si>
    <t>Astrid Lindgren-Schule Gelmer</t>
  </si>
  <si>
    <r>
      <t xml:space="preserve">Aegidii-Ludgeri-Schule 
</t>
    </r>
    <r>
      <rPr>
        <sz val="8"/>
        <rFont val="Arial"/>
        <family val="2"/>
      </rPr>
      <t>Es wurde eine jg.-übergr. Montessori-Klasse mit 20 Schüler/innen gebildet.</t>
    </r>
  </si>
  <si>
    <r>
      <t>Bodelschwinghschule</t>
    </r>
    <r>
      <rPr>
        <sz val="8"/>
        <rFont val="Arial"/>
        <family val="2"/>
      </rPr>
      <t xml:space="preserve">       </t>
    </r>
    <r>
      <rPr>
        <sz val="12"/>
        <rFont val="Arial"/>
        <family val="2"/>
      </rPr>
      <t xml:space="preserve"> </t>
    </r>
  </si>
  <si>
    <r>
      <t>Grundschule Kinderhaus-West</t>
    </r>
    <r>
      <rPr>
        <sz val="8"/>
        <rFont val="Arial"/>
        <family val="2"/>
      </rPr>
      <t xml:space="preserve"> </t>
    </r>
  </si>
  <si>
    <r>
      <t>Nikolaischule Wolbeck</t>
    </r>
    <r>
      <rPr>
        <sz val="8"/>
        <rFont val="Arial"/>
        <family val="2"/>
      </rPr>
      <t xml:space="preserve"> </t>
    </r>
  </si>
  <si>
    <r>
      <t xml:space="preserve">Dreifaltigkeitsschule 
</t>
    </r>
    <r>
      <rPr>
        <sz val="10"/>
        <rFont val="Arial"/>
        <family val="2"/>
      </rPr>
      <t>jg.-übergr. Unterricht JG 1 u. 2</t>
    </r>
  </si>
  <si>
    <r>
      <t xml:space="preserve">Norbertschule  
</t>
    </r>
    <r>
      <rPr>
        <sz val="10"/>
        <rFont val="Arial"/>
        <family val="2"/>
      </rPr>
      <t>tlw. jg.-übergr. Unterricht JG 1/</t>
    </r>
    <r>
      <rPr>
        <sz val="9"/>
        <rFont val="Arial"/>
        <family val="2"/>
      </rPr>
      <t>2</t>
    </r>
  </si>
  <si>
    <r>
      <t xml:space="preserve">Wartburgschule 
</t>
    </r>
    <r>
      <rPr>
        <sz val="9"/>
        <rFont val="Arial"/>
        <family val="2"/>
      </rPr>
      <t>tlw. jg.-übergr. Unterricht JG 1/2 u. 3/4</t>
    </r>
  </si>
  <si>
    <r>
      <t>Grundschule Berg Fidel</t>
    </r>
    <r>
      <rPr>
        <sz val="9"/>
        <rFont val="Arial"/>
        <family val="2"/>
      </rPr>
      <t xml:space="preserve"> 
jg.-übergr. Unterricht JG 1 - 4</t>
    </r>
  </si>
  <si>
    <t xml:space="preserve">Matthias-Claudius-Schule  </t>
  </si>
  <si>
    <t xml:space="preserve">Ludgerusschule Hiltrup </t>
  </si>
  <si>
    <r>
      <t>Melanchthonschule</t>
    </r>
    <r>
      <rPr>
        <sz val="8"/>
        <rFont val="Arial"/>
        <family val="2"/>
      </rPr>
      <t xml:space="preserve"> </t>
    </r>
  </si>
  <si>
    <r>
      <t>Kl.</t>
    </r>
    <r>
      <rPr>
        <vertAlign val="superscript"/>
        <sz val="12"/>
        <rFont val="Arial"/>
        <family val="2"/>
      </rPr>
      <t>1)</t>
    </r>
  </si>
  <si>
    <t>2013/2014</t>
  </si>
  <si>
    <r>
      <t xml:space="preserve">Aegidii-Ludgeri-Schule 
</t>
    </r>
    <r>
      <rPr>
        <sz val="8"/>
        <rFont val="Arial"/>
        <family val="2"/>
      </rPr>
      <t>Es wurde eine jg.-übergr. Montessori-Klasse mit 21 Schüler/innen gebildet.</t>
    </r>
  </si>
  <si>
    <r>
      <t xml:space="preserve">Norbertschule  
</t>
    </r>
    <r>
      <rPr>
        <sz val="9"/>
        <rFont val="Arial"/>
        <family val="2"/>
      </rPr>
      <t>jg.-übergr. Unterricht 1 - 2</t>
    </r>
  </si>
  <si>
    <r>
      <t xml:space="preserve">Wartburgschule 
</t>
    </r>
    <r>
      <rPr>
        <sz val="9"/>
        <rFont val="Arial"/>
        <family val="2"/>
      </rPr>
      <t>jg.-übergr. Unterricht JG 1/2 u. 3/4</t>
    </r>
  </si>
  <si>
    <t>2014/2015</t>
  </si>
  <si>
    <r>
      <t xml:space="preserve">Norbertschule  
</t>
    </r>
    <r>
      <rPr>
        <sz val="9"/>
        <rFont val="Arial"/>
        <family val="2"/>
      </rPr>
      <t>jg.-übergr. Unterricht in den JG 1 - 2</t>
    </r>
  </si>
  <si>
    <r>
      <t>Grundschule Berg Fidel</t>
    </r>
    <r>
      <rPr>
        <sz val="9"/>
        <rFont val="Arial"/>
        <family val="2"/>
      </rPr>
      <t xml:space="preserve"> 
jg.-übergr. Unterricht in den JG 2 - 4
auslaufend ab 2014/2015
s. auch PRIMUS-Schule</t>
    </r>
  </si>
  <si>
    <t>darunter
Ausländer</t>
  </si>
  <si>
    <t>2015/2016</t>
  </si>
  <si>
    <r>
      <t xml:space="preserve">Grundschule Sprakel
</t>
    </r>
    <r>
      <rPr>
        <sz val="9"/>
        <rFont val="Arial"/>
        <family val="2"/>
      </rPr>
      <t>jg.-übergr. Unterricht in den JG 1 - 2</t>
    </r>
  </si>
  <si>
    <r>
      <t xml:space="preserve">Astrid Lindgren-Schule Gelmer
</t>
    </r>
    <r>
      <rPr>
        <sz val="9"/>
        <rFont val="Arial"/>
        <family val="2"/>
      </rPr>
      <t>jg.-übergr. Unterricht in den JG 1 - 2</t>
    </r>
  </si>
  <si>
    <r>
      <t xml:space="preserve">Ludgerusschule Albachten
</t>
    </r>
    <r>
      <rPr>
        <sz val="9"/>
        <rFont val="Arial"/>
        <family val="2"/>
      </rPr>
      <t>tlw. jg.-übergr. Unterricht in den JG 1-2</t>
    </r>
  </si>
  <si>
    <t>2016/2017</t>
  </si>
  <si>
    <r>
      <t xml:space="preserve">Aegidii-Ludgeri-Schule 
</t>
    </r>
    <r>
      <rPr>
        <sz val="8"/>
        <rFont val="Arial"/>
        <family val="2"/>
      </rPr>
      <t>Es wurde eine jg.-übergr. Montessori-Klasse mit 27 Schüler/innen gebildet.</t>
    </r>
  </si>
  <si>
    <r>
      <t>Grundschule Kinderhaus-West</t>
    </r>
    <r>
      <rPr>
        <sz val="8"/>
        <rFont val="Arial"/>
        <family val="2"/>
      </rPr>
      <t xml:space="preserve"> 
</t>
    </r>
    <r>
      <rPr>
        <sz val="9"/>
        <rFont val="Arial"/>
        <family val="2"/>
      </rPr>
      <t>jg.-übergr. Unterricht in den JG 1 - 2</t>
    </r>
  </si>
  <si>
    <r>
      <t xml:space="preserve">Overbergschule
</t>
    </r>
    <r>
      <rPr>
        <sz val="9"/>
        <rFont val="Arial"/>
        <family val="2"/>
      </rPr>
      <t>jg.-übergr. Unterricht JG 1 u. 2, 3 u. 4</t>
    </r>
  </si>
  <si>
    <r>
      <t>Grundschule Berg Fidel</t>
    </r>
    <r>
      <rPr>
        <sz val="9"/>
        <rFont val="Arial"/>
        <family val="2"/>
      </rPr>
      <t xml:space="preserve"> 
auslaufend seit 2014/2015
s. auch PRIMUS-Schule</t>
    </r>
  </si>
  <si>
    <t>Lfd. 
Nr.</t>
  </si>
  <si>
    <t>1 / 1</t>
  </si>
  <si>
    <t>2 / 2</t>
  </si>
  <si>
    <t>10 / 3</t>
  </si>
  <si>
    <t>11 / 4</t>
  </si>
  <si>
    <t>8 /  1</t>
  </si>
  <si>
    <t>9 /  2</t>
  </si>
  <si>
    <t>4 /  2</t>
  </si>
  <si>
    <t>3 /  1</t>
  </si>
  <si>
    <t>5 /  3</t>
  </si>
  <si>
    <t>6 /  4</t>
  </si>
  <si>
    <t>7 /  5</t>
  </si>
  <si>
    <t>12 / 1</t>
  </si>
  <si>
    <t>13 / 2</t>
  </si>
  <si>
    <t>14 / 3</t>
  </si>
  <si>
    <t>15 / 4</t>
  </si>
  <si>
    <t>16 / 1</t>
  </si>
  <si>
    <t>17 / 2</t>
  </si>
  <si>
    <t>18 / 3</t>
  </si>
  <si>
    <t>19 / 4</t>
  </si>
  <si>
    <t>20 / 5</t>
  </si>
  <si>
    <t>21 / 6</t>
  </si>
  <si>
    <t>22 / 7</t>
  </si>
  <si>
    <t>23 / 8</t>
  </si>
  <si>
    <t>24 / 1</t>
  </si>
  <si>
    <t>25 / 2</t>
  </si>
  <si>
    <t>26 / 3</t>
  </si>
  <si>
    <t>27 / 4</t>
  </si>
  <si>
    <t>28 / 5</t>
  </si>
  <si>
    <t>29 / 6</t>
  </si>
  <si>
    <t>30 / 1</t>
  </si>
  <si>
    <t>31 / 2</t>
  </si>
  <si>
    <t>32 / 3</t>
  </si>
  <si>
    <t>33 / 4</t>
  </si>
  <si>
    <t>34 / 5</t>
  </si>
  <si>
    <t>35 / 1</t>
  </si>
  <si>
    <t>36 / 2</t>
  </si>
  <si>
    <t>37 / 3</t>
  </si>
  <si>
    <t>38 / 4</t>
  </si>
  <si>
    <t>39 / 1</t>
  </si>
  <si>
    <t>40 / 2</t>
  </si>
  <si>
    <t>41 / 3</t>
  </si>
  <si>
    <t>42 / 4</t>
  </si>
  <si>
    <t>43 / 5</t>
  </si>
  <si>
    <t>44 / 6</t>
  </si>
  <si>
    <t>45 / 7</t>
  </si>
  <si>
    <t>2017/2018</t>
  </si>
  <si>
    <r>
      <t xml:space="preserve">Aegidii-Ludgeri-Schule 
</t>
    </r>
    <r>
      <rPr>
        <sz val="8"/>
        <rFont val="Arial"/>
        <family val="2"/>
      </rPr>
      <t>Es wurde eine jg.-übergr. Montessori-Klasse mit 28 Schüler/innen gebildet.</t>
    </r>
  </si>
  <si>
    <r>
      <t xml:space="preserve">Wartburgschule 
</t>
    </r>
    <r>
      <rPr>
        <sz val="9"/>
        <rFont val="Arial"/>
        <family val="2"/>
      </rPr>
      <t>jg.-übergr. Unterricht JG 1 u. 2 / 3 u. 4</t>
    </r>
  </si>
  <si>
    <r>
      <t xml:space="preserve">Ludgerusschule Albachten
</t>
    </r>
    <r>
      <rPr>
        <sz val="9"/>
        <rFont val="Arial"/>
        <family val="2"/>
      </rPr>
      <t>tlw. jg.-übergr. Unterricht JG 1 u. 2</t>
    </r>
  </si>
  <si>
    <r>
      <t>Melanchthonschule</t>
    </r>
    <r>
      <rPr>
        <sz val="8"/>
        <rFont val="Arial"/>
        <family val="2"/>
      </rPr>
      <t xml:space="preserve"> 
</t>
    </r>
    <r>
      <rPr>
        <sz val="9"/>
        <rFont val="Arial"/>
        <family val="2"/>
      </rPr>
      <t>jg.-übergr. Unterricht JG 1 u. 2</t>
    </r>
  </si>
  <si>
    <r>
      <t xml:space="preserve">Norbertschule  
</t>
    </r>
    <r>
      <rPr>
        <sz val="9"/>
        <rFont val="Arial"/>
        <family val="2"/>
      </rPr>
      <t>jg.-übergr. Unterricht JG 1 u. 2</t>
    </r>
  </si>
  <si>
    <r>
      <t>Grundschule Kinderhaus-West</t>
    </r>
    <r>
      <rPr>
        <sz val="8"/>
        <rFont val="Arial"/>
        <family val="2"/>
      </rPr>
      <t xml:space="preserve"> 
</t>
    </r>
    <r>
      <rPr>
        <sz val="9"/>
        <rFont val="Arial"/>
        <family val="2"/>
      </rPr>
      <t>jg.-übergr. Unterricht JG 1 u. 2</t>
    </r>
  </si>
  <si>
    <r>
      <t xml:space="preserve">Grundschule Sprakel
</t>
    </r>
    <r>
      <rPr>
        <sz val="9"/>
        <rFont val="Arial"/>
        <family val="2"/>
      </rPr>
      <t>jg.-übergr. Unterricht in den JG 1 u. 2</t>
    </r>
  </si>
  <si>
    <r>
      <t xml:space="preserve">Astrid Lindgren-Schule Gelmer
</t>
    </r>
    <r>
      <rPr>
        <sz val="9"/>
        <rFont val="Arial"/>
        <family val="2"/>
      </rPr>
      <t>jg.-übergr. Unterricht JG 1 u. 2</t>
    </r>
  </si>
  <si>
    <r>
      <t xml:space="preserve">Clemensschule Hiltrup
</t>
    </r>
    <r>
      <rPr>
        <sz val="9"/>
        <rFont val="Arial"/>
        <family val="2"/>
      </rPr>
      <t>jg.-übergr. Unterricht JG 1 u. 2</t>
    </r>
  </si>
  <si>
    <t>Annette-von-Droste-Hülshoff-Schule Angelmodde</t>
  </si>
  <si>
    <t>Annette-von-Droste-Hülshoff-Schule Nienberge</t>
  </si>
  <si>
    <t>2018/2019</t>
  </si>
  <si>
    <r>
      <t xml:space="preserve">Hermannschule
</t>
    </r>
    <r>
      <rPr>
        <sz val="9"/>
        <rFont val="Arial"/>
        <family val="2"/>
      </rPr>
      <t>jg.-übergr. Unterricht JG 1 u. 2</t>
    </r>
  </si>
  <si>
    <r>
      <t xml:space="preserve">Grundschule Sprakel
</t>
    </r>
    <r>
      <rPr>
        <sz val="9"/>
        <rFont val="Arial"/>
        <family val="2"/>
      </rPr>
      <t>jg.-übergr. Unterricht JG 1 u. 2</t>
    </r>
  </si>
  <si>
    <r>
      <t xml:space="preserve">Annette-von-Droste-Hülshoff-Schule Angelmodde
</t>
    </r>
    <r>
      <rPr>
        <sz val="9"/>
        <rFont val="Arial"/>
        <family val="2"/>
      </rPr>
      <t>jg.-übergr. Unterricht JG 1 u. 2</t>
    </r>
  </si>
  <si>
    <t xml:space="preserve">Gesamt Stadtbezirk Mitte, Teilber. Innenstadtring  </t>
  </si>
  <si>
    <r>
      <t xml:space="preserve">Aegidii-Ludgeri-Schule 
</t>
    </r>
    <r>
      <rPr>
        <sz val="8"/>
        <rFont val="Arial"/>
        <family val="2"/>
      </rPr>
      <t>Es wurde eine jg.-übergr. Montessori-Klasse mit 24 Schüler/innen gebildet.</t>
    </r>
  </si>
  <si>
    <t>2019/2020</t>
  </si>
  <si>
    <t>Städt. Grundschule Wolbeck-Nord</t>
  </si>
  <si>
    <r>
      <t xml:space="preserve">Astrid Lindgren-Schule Gelmer
</t>
    </r>
    <r>
      <rPr>
        <sz val="9"/>
        <rFont val="Arial"/>
        <family val="2"/>
      </rPr>
      <t>jg.-übergr. Unterricht JG 1 / 2 u. 3 / 4</t>
    </r>
  </si>
  <si>
    <t>39 / 5</t>
  </si>
  <si>
    <t>40 / 1</t>
  </si>
  <si>
    <t>41 / 2</t>
  </si>
  <si>
    <t>42 / 3</t>
  </si>
  <si>
    <t>43 / 4</t>
  </si>
  <si>
    <t>44 / 5</t>
  </si>
  <si>
    <t>45 / 6</t>
  </si>
  <si>
    <t>2020/2021</t>
  </si>
  <si>
    <r>
      <t xml:space="preserve">Städt. Grundschule Wolbeck-Nord
</t>
    </r>
    <r>
      <rPr>
        <sz val="9"/>
        <rFont val="Arial"/>
        <family val="2"/>
      </rPr>
      <t>jg.-übergr. Unterricht JG 1 u. 2</t>
    </r>
  </si>
  <si>
    <r>
      <t xml:space="preserve">Aegidii-Ludgeri-Schule 
</t>
    </r>
    <r>
      <rPr>
        <sz val="8"/>
        <rFont val="Arial"/>
        <family val="2"/>
      </rPr>
      <t>Es wurde eine jg.-übergr. Montessori-Klasse mit 19 Schüler/innen gebildet.</t>
    </r>
  </si>
  <si>
    <t>Ludgerusschule Hiltrup (alt)</t>
  </si>
  <si>
    <t>Gesamt Stadtbezirk Hiltrup (alt)</t>
  </si>
  <si>
    <t>Gesamt Stadt Münster (alt)</t>
  </si>
  <si>
    <r>
      <t>Ludgerusschule Hiltrup</t>
    </r>
    <r>
      <rPr>
        <sz val="11"/>
        <rFont val="Arial"/>
        <family val="2"/>
      </rPr>
      <t xml:space="preserve"> (korrigiert)</t>
    </r>
  </si>
  <si>
    <t>Gesamt Stadtbezirk Hiltrup (korrigiert)</t>
  </si>
  <si>
    <t>Gesamt Stadt Münster (korrigiert)</t>
  </si>
  <si>
    <t>2021/2022</t>
  </si>
  <si>
    <t>Gesamt Stadtbezirk Hiltrup</t>
  </si>
  <si>
    <t>Gesamt Stadt Münster</t>
  </si>
  <si>
    <t>1.2.1    Städtische Grundschulen - Schüler/innen- und Klassenzahlen im Schuljahr 2021/2022</t>
  </si>
  <si>
    <r>
      <t xml:space="preserve">Aegidii-Ludgeri-Schule 
</t>
    </r>
    <r>
      <rPr>
        <sz val="8"/>
        <rFont val="Arial"/>
        <family val="2"/>
      </rPr>
      <t>Es wurde eine jg.-übergr. Montessori-Klasse mit 15 Schüler/innen gebildet.</t>
    </r>
  </si>
  <si>
    <t>1</t>
  </si>
  <si>
    <t>2</t>
  </si>
  <si>
    <t>3</t>
  </si>
  <si>
    <t>4</t>
  </si>
  <si>
    <t>5</t>
  </si>
  <si>
    <t>6</t>
  </si>
  <si>
    <t>7</t>
  </si>
  <si>
    <t>8</t>
  </si>
  <si>
    <t>11</t>
  </si>
  <si>
    <t>9</t>
  </si>
  <si>
    <t>10</t>
  </si>
  <si>
    <t>12</t>
  </si>
  <si>
    <t>13</t>
  </si>
  <si>
    <t>14</t>
  </si>
  <si>
    <t>15</t>
  </si>
  <si>
    <t>16</t>
  </si>
  <si>
    <t>18</t>
  </si>
  <si>
    <t>17</t>
  </si>
  <si>
    <t>19</t>
  </si>
  <si>
    <t>20</t>
  </si>
  <si>
    <t>21</t>
  </si>
  <si>
    <t>22</t>
  </si>
  <si>
    <t>23</t>
  </si>
  <si>
    <t>24</t>
  </si>
  <si>
    <t>41</t>
  </si>
  <si>
    <t>25</t>
  </si>
  <si>
    <t>26</t>
  </si>
  <si>
    <t>27</t>
  </si>
  <si>
    <t>28</t>
  </si>
  <si>
    <t>29</t>
  </si>
  <si>
    <t>30</t>
  </si>
  <si>
    <t>40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</si>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</sst>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###\ ###\ ;\-###\ ###\ ;\-\ "/>
    <numFmt numFmtId="166" formatCode="0.0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74">
    <xf numFmtId="0" fontId="0" fillId="0" borderId="0" xfId="0"/>
    <xf numFmtId="0" fontId="1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65" fontId="1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5" xfId="0" applyFont="1" applyFill="1" applyBorder="1" applyAlignment="1">
      <alignment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/>
    <xf numFmtId="49" fontId="11" fillId="0" borderId="0" xfId="0" applyNumberFormat="1" applyFont="1" applyFill="1" applyAlignment="1">
      <alignment horizontal="left" wrapText="1"/>
    </xf>
    <xf numFmtId="49" fontId="11" fillId="0" borderId="8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3" fontId="1" fillId="0" borderId="8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66" fontId="1" fillId="0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49" fontId="11" fillId="0" borderId="20" xfId="0" applyNumberFormat="1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64" fontId="1" fillId="0" borderId="20" xfId="0" applyNumberFormat="1" applyFont="1" applyFill="1" applyBorder="1" applyAlignment="1">
      <alignment horizontal="center" wrapText="1"/>
    </xf>
    <xf numFmtId="164" fontId="1" fillId="0" borderId="22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49" fontId="11" fillId="0" borderId="9" xfId="0" applyNumberFormat="1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164" fontId="1" fillId="0" borderId="17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1" fillId="0" borderId="25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0" xfId="0" applyFont="1" applyFill="1" applyBorder="1" applyAlignment="1"/>
    <xf numFmtId="0" fontId="1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2" fontId="2" fillId="0" borderId="17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49" fontId="11" fillId="0" borderId="19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/>
    <xf numFmtId="49" fontId="11" fillId="0" borderId="8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49" fontId="11" fillId="0" borderId="5" xfId="0" applyNumberFormat="1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1" fillId="0" borderId="8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165" fontId="1" fillId="0" borderId="4" xfId="0" applyNumberFormat="1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horizontal="center" wrapText="1"/>
    </xf>
    <xf numFmtId="165" fontId="1" fillId="0" borderId="8" xfId="0" applyNumberFormat="1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horizontal="center" wrapText="1"/>
    </xf>
    <xf numFmtId="165" fontId="2" fillId="0" borderId="9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wrapText="1"/>
    </xf>
    <xf numFmtId="165" fontId="2" fillId="0" borderId="17" xfId="0" applyNumberFormat="1" applyFont="1" applyFill="1" applyBorder="1" applyAlignment="1">
      <alignment horizontal="center" wrapText="1"/>
    </xf>
    <xf numFmtId="165" fontId="1" fillId="0" borderId="21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center" wrapText="1"/>
    </xf>
    <xf numFmtId="165" fontId="2" fillId="0" borderId="14" xfId="0" applyNumberFormat="1" applyFont="1" applyFill="1" applyBorder="1" applyAlignment="1">
      <alignment horizontal="center" wrapText="1"/>
    </xf>
    <xf numFmtId="165" fontId="1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5" fontId="2" fillId="0" borderId="46" xfId="0" applyNumberFormat="1" applyFont="1" applyFill="1" applyBorder="1" applyAlignment="1">
      <alignment horizontal="center" vertical="center" wrapText="1"/>
    </xf>
    <xf numFmtId="165" fontId="2" fillId="0" borderId="4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165" fontId="1" fillId="0" borderId="39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5" fontId="1" fillId="0" borderId="37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65" fontId="1" fillId="0" borderId="51" xfId="0" applyNumberFormat="1" applyFont="1" applyFill="1" applyBorder="1" applyAlignment="1">
      <alignment horizontal="center" vertical="center" wrapText="1"/>
    </xf>
    <xf numFmtId="165" fontId="1" fillId="0" borderId="48" xfId="0" applyNumberFormat="1" applyFont="1" applyFill="1" applyBorder="1" applyAlignment="1">
      <alignment horizontal="center" vertical="center" wrapText="1"/>
    </xf>
    <xf numFmtId="165" fontId="1" fillId="0" borderId="49" xfId="0" applyNumberFormat="1" applyFont="1" applyFill="1" applyBorder="1" applyAlignment="1">
      <alignment horizontal="center" vertical="center" wrapText="1"/>
    </xf>
    <xf numFmtId="165" fontId="1" fillId="0" borderId="5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904875</xdr:colOff>
      <xdr:row>91</xdr:row>
      <xdr:rowOff>161925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790950" y="38080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904875</xdr:colOff>
      <xdr:row>148</xdr:row>
      <xdr:rowOff>161925</xdr:rowOff>
    </xdr:from>
    <xdr:ext cx="76200" cy="200025"/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3790950" y="61455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904875</xdr:colOff>
      <xdr:row>205</xdr:row>
      <xdr:rowOff>161925</xdr:rowOff>
    </xdr:from>
    <xdr:ext cx="76200" cy="200025"/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3790950" y="8362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904875</xdr:colOff>
      <xdr:row>261</xdr:row>
      <xdr:rowOff>161925</xdr:rowOff>
    </xdr:from>
    <xdr:ext cx="76200" cy="20002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3790950" y="105422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904875</xdr:colOff>
      <xdr:row>317</xdr:row>
      <xdr:rowOff>161925</xdr:rowOff>
    </xdr:from>
    <xdr:ext cx="76200" cy="200025"/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3790950" y="127482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904875</xdr:colOff>
      <xdr:row>373</xdr:row>
      <xdr:rowOff>161925</xdr:rowOff>
    </xdr:from>
    <xdr:ext cx="76200" cy="200025"/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3790950" y="149209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904875</xdr:colOff>
      <xdr:row>429</xdr:row>
      <xdr:rowOff>161925</xdr:rowOff>
    </xdr:from>
    <xdr:ext cx="76200" cy="200025"/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3790950" y="17075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904875</xdr:colOff>
      <xdr:row>484</xdr:row>
      <xdr:rowOff>161925</xdr:rowOff>
    </xdr:from>
    <xdr:ext cx="76200" cy="200025"/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3790950" y="191804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904875</xdr:colOff>
      <xdr:row>539</xdr:row>
      <xdr:rowOff>161925</xdr:rowOff>
    </xdr:from>
    <xdr:ext cx="76200" cy="200025"/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2847975" y="19157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904875</xdr:colOff>
      <xdr:row>595</xdr:row>
      <xdr:rowOff>161925</xdr:rowOff>
    </xdr:from>
    <xdr:ext cx="76200" cy="200025"/>
    <xdr:sp macro="" textlink="">
      <xdr:nvSpPr>
        <xdr:cNvPr id="11" name="Text Box 14"/>
        <xdr:cNvSpPr txBox="1">
          <a:spLocks noChangeArrowheads="1"/>
        </xdr:cNvSpPr>
      </xdr:nvSpPr>
      <xdr:spPr bwMode="auto">
        <a:xfrm>
          <a:off x="3657600" y="212645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904875</xdr:colOff>
      <xdr:row>654</xdr:row>
      <xdr:rowOff>161925</xdr:rowOff>
    </xdr:from>
    <xdr:ext cx="76200" cy="200025"/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3657600" y="23422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682"/>
  <sheetViews>
    <sheetView tabSelected="1" zoomScaleNormal="100" workbookViewId="0">
      <pane ySplit="6" topLeftCell="A7" activePane="bottomLeft" state="frozen"/>
      <selection activeCell="B1" sqref="B1"/>
      <selection pane="bottomLeft" activeCell="A7" sqref="A7"/>
    </sheetView>
  </sheetViews>
  <sheetFormatPr baseColWidth="10" defaultColWidth="11.44140625" defaultRowHeight="15" x14ac:dyDescent="0.25"/>
  <cols>
    <col min="1" max="1" width="15.5546875" style="68" customWidth="1"/>
    <col min="2" max="2" width="3.88671875" style="69" customWidth="1"/>
    <col min="3" max="3" width="19.33203125" style="61" bestFit="1" customWidth="1"/>
    <col min="4" max="4" width="6" style="112" customWidth="1"/>
    <col min="5" max="5" width="34.109375" style="67" customWidth="1"/>
    <col min="6" max="6" width="6.5546875" style="110" customWidth="1"/>
    <col min="7" max="7" width="6.6640625" style="115" customWidth="1"/>
    <col min="8" max="8" width="6.6640625" style="110" customWidth="1"/>
    <col min="9" max="9" width="8" style="110" customWidth="1"/>
    <col min="10" max="10" width="6.6640625" style="115" customWidth="1"/>
    <col min="11" max="11" width="7" style="110" bestFit="1" customWidth="1"/>
    <col min="12" max="12" width="8" style="110" customWidth="1"/>
    <col min="13" max="13" width="6.6640625" style="115" customWidth="1"/>
    <col min="14" max="14" width="6.6640625" style="110" customWidth="1"/>
    <col min="15" max="15" width="8" style="110" customWidth="1"/>
    <col min="16" max="16" width="6.6640625" style="115" customWidth="1"/>
    <col min="17" max="17" width="6.6640625" style="110" customWidth="1"/>
    <col min="18" max="18" width="8" style="110" customWidth="1"/>
    <col min="19" max="19" width="8.33203125" style="115" bestFit="1" customWidth="1"/>
    <col min="20" max="20" width="7.109375" style="110" customWidth="1"/>
    <col min="21" max="21" width="6.6640625" style="115" customWidth="1"/>
    <col min="22" max="22" width="6.6640625" style="110" customWidth="1"/>
    <col min="23" max="23" width="6.109375" style="115" customWidth="1"/>
    <col min="24" max="24" width="7" style="110" customWidth="1"/>
    <col min="25" max="16384" width="11.44140625" style="68"/>
  </cols>
  <sheetData>
    <row r="1" spans="1:24" s="59" customFormat="1" ht="15" customHeight="1" x14ac:dyDescent="0.3">
      <c r="B1" s="60" t="s">
        <v>244</v>
      </c>
      <c r="D1" s="112"/>
      <c r="E1" s="61"/>
      <c r="F1" s="62"/>
      <c r="G1" s="114"/>
      <c r="H1" s="62"/>
      <c r="I1" s="62"/>
      <c r="J1" s="114"/>
      <c r="K1" s="62"/>
      <c r="L1" s="62"/>
      <c r="M1" s="114"/>
      <c r="N1" s="62"/>
      <c r="O1" s="62"/>
      <c r="P1" s="114"/>
      <c r="Q1" s="116"/>
      <c r="R1" s="62"/>
      <c r="S1" s="114"/>
      <c r="T1" s="117"/>
      <c r="U1" s="114"/>
      <c r="V1" s="118"/>
      <c r="W1" s="114"/>
      <c r="X1" s="62"/>
    </row>
    <row r="2" spans="1:24" s="59" customFormat="1" ht="18.75" customHeight="1" thickBot="1" x14ac:dyDescent="0.35">
      <c r="C2" s="61"/>
      <c r="D2" s="112"/>
      <c r="E2" s="61"/>
      <c r="F2" s="62"/>
      <c r="G2" s="114"/>
      <c r="H2" s="62"/>
      <c r="I2" s="118"/>
      <c r="J2" s="119"/>
      <c r="K2" s="118"/>
      <c r="L2" s="62"/>
      <c r="M2" s="114"/>
      <c r="N2" s="62"/>
      <c r="O2" s="116"/>
      <c r="P2" s="114"/>
      <c r="Q2" s="62"/>
      <c r="R2" s="117"/>
      <c r="S2" s="114"/>
      <c r="T2" s="62"/>
      <c r="U2" s="114"/>
      <c r="V2" s="62"/>
      <c r="W2" s="114"/>
      <c r="X2" s="62"/>
    </row>
    <row r="3" spans="1:24" s="13" customFormat="1" ht="38.25" customHeight="1" x14ac:dyDescent="0.25">
      <c r="A3" s="371" t="s">
        <v>0</v>
      </c>
      <c r="B3" s="366" t="s">
        <v>47</v>
      </c>
      <c r="C3" s="366"/>
      <c r="D3" s="370" t="s">
        <v>158</v>
      </c>
      <c r="E3" s="367" t="s">
        <v>44</v>
      </c>
      <c r="F3" s="369" t="s">
        <v>104</v>
      </c>
      <c r="G3" s="366" t="s">
        <v>1</v>
      </c>
      <c r="H3" s="366"/>
      <c r="I3" s="366"/>
      <c r="J3" s="366" t="s">
        <v>2</v>
      </c>
      <c r="K3" s="366"/>
      <c r="L3" s="366"/>
      <c r="M3" s="366" t="s">
        <v>3</v>
      </c>
      <c r="N3" s="366"/>
      <c r="O3" s="366"/>
      <c r="P3" s="366" t="s">
        <v>4</v>
      </c>
      <c r="Q3" s="366"/>
      <c r="R3" s="366"/>
      <c r="S3" s="366" t="s">
        <v>5</v>
      </c>
      <c r="T3" s="366"/>
      <c r="U3" s="366"/>
      <c r="V3" s="366"/>
      <c r="W3" s="367" t="s">
        <v>6</v>
      </c>
    </row>
    <row r="4" spans="1:24" s="13" customFormat="1" ht="30" customHeight="1" x14ac:dyDescent="0.25">
      <c r="A4" s="372"/>
      <c r="B4" s="366"/>
      <c r="C4" s="366"/>
      <c r="D4" s="370"/>
      <c r="E4" s="367"/>
      <c r="F4" s="369"/>
      <c r="G4" s="367" t="s">
        <v>7</v>
      </c>
      <c r="H4" s="366" t="s">
        <v>8</v>
      </c>
      <c r="I4" s="366" t="s">
        <v>140</v>
      </c>
      <c r="J4" s="367" t="s">
        <v>7</v>
      </c>
      <c r="K4" s="366" t="s">
        <v>8</v>
      </c>
      <c r="L4" s="366" t="s">
        <v>140</v>
      </c>
      <c r="M4" s="367" t="s">
        <v>7</v>
      </c>
      <c r="N4" s="366" t="s">
        <v>8</v>
      </c>
      <c r="O4" s="366" t="s">
        <v>140</v>
      </c>
      <c r="P4" s="367" t="s">
        <v>7</v>
      </c>
      <c r="Q4" s="366" t="s">
        <v>8</v>
      </c>
      <c r="R4" s="366" t="s">
        <v>140</v>
      </c>
      <c r="S4" s="367" t="s">
        <v>9</v>
      </c>
      <c r="T4" s="367"/>
      <c r="U4" s="366" t="s">
        <v>148</v>
      </c>
      <c r="V4" s="366"/>
      <c r="W4" s="368"/>
    </row>
    <row r="5" spans="1:24" s="13" customFormat="1" ht="30" customHeight="1" thickBot="1" x14ac:dyDescent="0.3">
      <c r="A5" s="373"/>
      <c r="B5" s="366"/>
      <c r="C5" s="366"/>
      <c r="D5" s="370"/>
      <c r="E5" s="367"/>
      <c r="F5" s="369"/>
      <c r="G5" s="367"/>
      <c r="H5" s="366"/>
      <c r="I5" s="366"/>
      <c r="J5" s="367"/>
      <c r="K5" s="366"/>
      <c r="L5" s="366"/>
      <c r="M5" s="367"/>
      <c r="N5" s="366"/>
      <c r="O5" s="366"/>
      <c r="P5" s="367"/>
      <c r="Q5" s="366"/>
      <c r="R5" s="366"/>
      <c r="S5" s="146" t="s">
        <v>7</v>
      </c>
      <c r="T5" s="135" t="s">
        <v>8</v>
      </c>
      <c r="U5" s="146" t="s">
        <v>7</v>
      </c>
      <c r="V5" s="145" t="s">
        <v>8</v>
      </c>
      <c r="W5" s="368"/>
    </row>
    <row r="6" spans="1:24" s="139" customFormat="1" ht="19.5" customHeight="1" x14ac:dyDescent="0.25">
      <c r="A6" s="138">
        <v>1</v>
      </c>
      <c r="B6" s="136">
        <v>1</v>
      </c>
      <c r="C6" s="136">
        <v>2</v>
      </c>
      <c r="D6" s="137">
        <f>C6+1</f>
        <v>3</v>
      </c>
      <c r="E6" s="136">
        <f t="shared" ref="E6:W6" si="0">D6+1</f>
        <v>4</v>
      </c>
      <c r="F6" s="136">
        <f t="shared" si="0"/>
        <v>5</v>
      </c>
      <c r="G6" s="136">
        <v>6</v>
      </c>
      <c r="H6" s="136">
        <v>7</v>
      </c>
      <c r="I6" s="136">
        <v>8</v>
      </c>
      <c r="J6" s="136">
        <v>9</v>
      </c>
      <c r="K6" s="136">
        <v>10</v>
      </c>
      <c r="L6" s="136">
        <v>11</v>
      </c>
      <c r="M6" s="136">
        <v>12</v>
      </c>
      <c r="N6" s="136">
        <f t="shared" si="0"/>
        <v>13</v>
      </c>
      <c r="O6" s="136">
        <f t="shared" si="0"/>
        <v>14</v>
      </c>
      <c r="P6" s="136">
        <f t="shared" si="0"/>
        <v>15</v>
      </c>
      <c r="Q6" s="136">
        <f t="shared" si="0"/>
        <v>16</v>
      </c>
      <c r="R6" s="136">
        <f t="shared" si="0"/>
        <v>17</v>
      </c>
      <c r="S6" s="136">
        <f t="shared" si="0"/>
        <v>18</v>
      </c>
      <c r="T6" s="136">
        <f t="shared" si="0"/>
        <v>19</v>
      </c>
      <c r="U6" s="136">
        <v>20</v>
      </c>
      <c r="V6" s="136">
        <f t="shared" si="0"/>
        <v>21</v>
      </c>
      <c r="W6" s="136">
        <f t="shared" si="0"/>
        <v>22</v>
      </c>
    </row>
    <row r="7" spans="1:24" s="65" customFormat="1" ht="45" customHeight="1" x14ac:dyDescent="0.3">
      <c r="A7" s="166" t="s">
        <v>10</v>
      </c>
      <c r="B7" s="167">
        <v>11</v>
      </c>
      <c r="C7" s="168" t="s">
        <v>48</v>
      </c>
      <c r="D7" s="169" t="s">
        <v>246</v>
      </c>
      <c r="E7" s="168" t="s">
        <v>46</v>
      </c>
      <c r="F7" s="166" t="s">
        <v>105</v>
      </c>
      <c r="G7" s="170">
        <f>28+7</f>
        <v>35</v>
      </c>
      <c r="H7" s="171">
        <f>13+3</f>
        <v>16</v>
      </c>
      <c r="I7" s="166">
        <v>1.25</v>
      </c>
      <c r="J7" s="172">
        <v>31</v>
      </c>
      <c r="K7" s="166">
        <v>19</v>
      </c>
      <c r="L7" s="166">
        <v>1.25</v>
      </c>
      <c r="M7" s="170">
        <f>27+3</f>
        <v>30</v>
      </c>
      <c r="N7" s="171">
        <f>16+3</f>
        <v>19</v>
      </c>
      <c r="O7" s="166">
        <v>1.25</v>
      </c>
      <c r="P7" s="170">
        <f>26+5</f>
        <v>31</v>
      </c>
      <c r="Q7" s="171">
        <f>16+2</f>
        <v>18</v>
      </c>
      <c r="R7" s="166">
        <v>1.25</v>
      </c>
      <c r="S7" s="173">
        <f>G7+J7+M7+P7</f>
        <v>127</v>
      </c>
      <c r="T7" s="173">
        <f>H7+K7+N7+Q7</f>
        <v>72</v>
      </c>
      <c r="U7" s="170">
        <v>4</v>
      </c>
      <c r="V7" s="166">
        <v>3</v>
      </c>
      <c r="W7" s="174">
        <f>I7+L7+O7+R7</f>
        <v>5</v>
      </c>
      <c r="X7" s="120"/>
    </row>
    <row r="8" spans="1:24" s="66" customFormat="1" ht="31.95" customHeight="1" x14ac:dyDescent="0.3">
      <c r="A8" s="3" t="s">
        <v>10</v>
      </c>
      <c r="B8" s="175">
        <v>15</v>
      </c>
      <c r="C8" s="176" t="s">
        <v>64</v>
      </c>
      <c r="D8" s="177" t="s">
        <v>247</v>
      </c>
      <c r="E8" s="176" t="s">
        <v>24</v>
      </c>
      <c r="F8" s="3" t="s">
        <v>105</v>
      </c>
      <c r="G8" s="1">
        <f>21+20</f>
        <v>41</v>
      </c>
      <c r="H8" s="2">
        <f>11+8</f>
        <v>19</v>
      </c>
      <c r="I8" s="3">
        <v>2</v>
      </c>
      <c r="J8" s="178">
        <v>44</v>
      </c>
      <c r="K8" s="3">
        <v>21</v>
      </c>
      <c r="L8" s="3">
        <v>2</v>
      </c>
      <c r="M8" s="1">
        <f>21+21</f>
        <v>42</v>
      </c>
      <c r="N8" s="2">
        <f>8+9</f>
        <v>17</v>
      </c>
      <c r="O8" s="3">
        <v>2</v>
      </c>
      <c r="P8" s="1">
        <f>19</f>
        <v>19</v>
      </c>
      <c r="Q8" s="2">
        <f>12</f>
        <v>12</v>
      </c>
      <c r="R8" s="3">
        <v>1</v>
      </c>
      <c r="S8" s="179">
        <f t="shared" ref="S8:S71" si="1">G8+J8+M8+P8</f>
        <v>146</v>
      </c>
      <c r="T8" s="180">
        <f t="shared" ref="T8:T71" si="2">H8+K8+N8+Q8</f>
        <v>69</v>
      </c>
      <c r="U8" s="1">
        <v>14</v>
      </c>
      <c r="V8" s="3">
        <v>6</v>
      </c>
      <c r="W8" s="181">
        <f>I8+L8+O8+R8</f>
        <v>7</v>
      </c>
      <c r="X8" s="121"/>
    </row>
    <row r="9" spans="1:24" s="66" customFormat="1" ht="31.95" customHeight="1" thickBot="1" x14ac:dyDescent="0.35">
      <c r="A9" s="182" t="s">
        <v>10</v>
      </c>
      <c r="B9" s="360" t="s">
        <v>92</v>
      </c>
      <c r="C9" s="361"/>
      <c r="D9" s="361"/>
      <c r="E9" s="361"/>
      <c r="F9" s="362"/>
      <c r="G9" s="183">
        <f>SUM(G7:G8)</f>
        <v>76</v>
      </c>
      <c r="H9" s="184">
        <f t="shared" ref="H9" si="3">SUM(H7:H8)</f>
        <v>35</v>
      </c>
      <c r="I9" s="185">
        <f t="shared" ref="I9:W9" si="4">SUM(I7:I8)</f>
        <v>3.25</v>
      </c>
      <c r="J9" s="186">
        <v>75</v>
      </c>
      <c r="K9" s="185">
        <v>40</v>
      </c>
      <c r="L9" s="185">
        <f t="shared" si="4"/>
        <v>3.25</v>
      </c>
      <c r="M9" s="183">
        <f t="shared" si="4"/>
        <v>72</v>
      </c>
      <c r="N9" s="184">
        <f t="shared" si="4"/>
        <v>36</v>
      </c>
      <c r="O9" s="185">
        <f t="shared" si="4"/>
        <v>3.25</v>
      </c>
      <c r="P9" s="183">
        <f t="shared" si="4"/>
        <v>50</v>
      </c>
      <c r="Q9" s="184">
        <f t="shared" si="4"/>
        <v>30</v>
      </c>
      <c r="R9" s="185">
        <f t="shared" si="4"/>
        <v>2.25</v>
      </c>
      <c r="S9" s="187">
        <f t="shared" si="1"/>
        <v>273</v>
      </c>
      <c r="T9" s="188">
        <f t="shared" si="2"/>
        <v>141</v>
      </c>
      <c r="U9" s="183">
        <f t="shared" si="4"/>
        <v>18</v>
      </c>
      <c r="V9" s="185">
        <f t="shared" si="4"/>
        <v>9</v>
      </c>
      <c r="W9" s="189">
        <f t="shared" si="4"/>
        <v>12</v>
      </c>
      <c r="X9" s="121"/>
    </row>
    <row r="10" spans="1:24" s="67" customFormat="1" ht="30" customHeight="1" x14ac:dyDescent="0.3">
      <c r="A10" s="190" t="s">
        <v>10</v>
      </c>
      <c r="B10" s="191">
        <v>22</v>
      </c>
      <c r="C10" s="192" t="s">
        <v>75</v>
      </c>
      <c r="D10" s="169" t="s">
        <v>248</v>
      </c>
      <c r="E10" s="192" t="s">
        <v>32</v>
      </c>
      <c r="F10" s="190" t="s">
        <v>106</v>
      </c>
      <c r="G10" s="193">
        <v>24</v>
      </c>
      <c r="H10" s="194">
        <v>7</v>
      </c>
      <c r="I10" s="190">
        <v>1</v>
      </c>
      <c r="J10" s="195">
        <v>22</v>
      </c>
      <c r="K10" s="190">
        <v>8</v>
      </c>
      <c r="L10" s="190">
        <v>1</v>
      </c>
      <c r="M10" s="193">
        <v>35</v>
      </c>
      <c r="N10" s="194">
        <f>6+10</f>
        <v>16</v>
      </c>
      <c r="O10" s="190">
        <v>2</v>
      </c>
      <c r="P10" s="193">
        <f>17+20</f>
        <v>37</v>
      </c>
      <c r="Q10" s="194">
        <f>9+11</f>
        <v>20</v>
      </c>
      <c r="R10" s="190">
        <v>2</v>
      </c>
      <c r="S10" s="195">
        <f t="shared" si="1"/>
        <v>118</v>
      </c>
      <c r="T10" s="194">
        <f t="shared" si="2"/>
        <v>51</v>
      </c>
      <c r="U10" s="193">
        <v>14</v>
      </c>
      <c r="V10" s="190">
        <v>5</v>
      </c>
      <c r="W10" s="196">
        <f>I10+L10+O10+R10</f>
        <v>6</v>
      </c>
      <c r="X10" s="110"/>
    </row>
    <row r="11" spans="1:24" s="66" customFormat="1" ht="31.95" customHeight="1" x14ac:dyDescent="0.3">
      <c r="A11" s="3" t="s">
        <v>10</v>
      </c>
      <c r="B11" s="175">
        <v>24</v>
      </c>
      <c r="C11" s="176" t="s">
        <v>70</v>
      </c>
      <c r="D11" s="177" t="s">
        <v>249</v>
      </c>
      <c r="E11" s="176" t="s">
        <v>27</v>
      </c>
      <c r="F11" s="3" t="s">
        <v>105</v>
      </c>
      <c r="G11" s="1">
        <v>29</v>
      </c>
      <c r="H11" s="2">
        <v>10</v>
      </c>
      <c r="I11" s="3">
        <v>1</v>
      </c>
      <c r="J11" s="178">
        <v>31</v>
      </c>
      <c r="K11" s="3">
        <v>18</v>
      </c>
      <c r="L11" s="3">
        <v>1</v>
      </c>
      <c r="M11" s="1">
        <v>28</v>
      </c>
      <c r="N11" s="2">
        <v>16</v>
      </c>
      <c r="O11" s="3">
        <v>1</v>
      </c>
      <c r="P11" s="1">
        <v>21</v>
      </c>
      <c r="Q11" s="2">
        <v>13</v>
      </c>
      <c r="R11" s="3">
        <v>1</v>
      </c>
      <c r="S11" s="179">
        <f t="shared" si="1"/>
        <v>109</v>
      </c>
      <c r="T11" s="180">
        <f t="shared" si="2"/>
        <v>57</v>
      </c>
      <c r="U11" s="1">
        <v>10</v>
      </c>
      <c r="V11" s="3">
        <v>5</v>
      </c>
      <c r="W11" s="181">
        <f>I11+L11+O11+R11</f>
        <v>4</v>
      </c>
      <c r="X11" s="121"/>
    </row>
    <row r="12" spans="1:24" s="67" customFormat="1" ht="30.6" customHeight="1" x14ac:dyDescent="0.3">
      <c r="A12" s="7" t="s">
        <v>10</v>
      </c>
      <c r="B12" s="197">
        <v>25</v>
      </c>
      <c r="C12" s="198" t="s">
        <v>74</v>
      </c>
      <c r="D12" s="177" t="s">
        <v>250</v>
      </c>
      <c r="E12" s="198" t="s">
        <v>31</v>
      </c>
      <c r="F12" s="7" t="s">
        <v>106</v>
      </c>
      <c r="G12" s="4">
        <f>25+23</f>
        <v>48</v>
      </c>
      <c r="H12" s="199">
        <f>18+15</f>
        <v>33</v>
      </c>
      <c r="I12" s="7">
        <v>2</v>
      </c>
      <c r="J12" s="200">
        <v>55</v>
      </c>
      <c r="K12" s="7">
        <v>26</v>
      </c>
      <c r="L12" s="7">
        <v>2</v>
      </c>
      <c r="M12" s="4">
        <v>48</v>
      </c>
      <c r="N12" s="199">
        <f>9+11</f>
        <v>20</v>
      </c>
      <c r="O12" s="7">
        <v>2</v>
      </c>
      <c r="P12" s="4">
        <f>19+21+22</f>
        <v>62</v>
      </c>
      <c r="Q12" s="199">
        <f>8+9+8</f>
        <v>25</v>
      </c>
      <c r="R12" s="7">
        <v>3</v>
      </c>
      <c r="S12" s="200">
        <f t="shared" si="1"/>
        <v>213</v>
      </c>
      <c r="T12" s="199">
        <f t="shared" si="2"/>
        <v>104</v>
      </c>
      <c r="U12" s="4">
        <v>6</v>
      </c>
      <c r="V12" s="7">
        <v>2</v>
      </c>
      <c r="W12" s="201">
        <f>I12+L12+O12+R12</f>
        <v>9</v>
      </c>
      <c r="X12" s="110"/>
    </row>
    <row r="13" spans="1:24" s="66" customFormat="1" ht="31.95" customHeight="1" x14ac:dyDescent="0.3">
      <c r="A13" s="3" t="s">
        <v>10</v>
      </c>
      <c r="B13" s="175">
        <v>27</v>
      </c>
      <c r="C13" s="176" t="s">
        <v>60</v>
      </c>
      <c r="D13" s="177" t="s">
        <v>251</v>
      </c>
      <c r="E13" s="176" t="s">
        <v>21</v>
      </c>
      <c r="F13" s="3" t="s">
        <v>105</v>
      </c>
      <c r="G13" s="1">
        <f>30+26</f>
        <v>56</v>
      </c>
      <c r="H13" s="2">
        <f>13+14</f>
        <v>27</v>
      </c>
      <c r="I13" s="3">
        <v>2</v>
      </c>
      <c r="J13" s="178">
        <v>58</v>
      </c>
      <c r="K13" s="3">
        <v>31</v>
      </c>
      <c r="L13" s="3">
        <v>2</v>
      </c>
      <c r="M13" s="1">
        <f>27+20</f>
        <v>47</v>
      </c>
      <c r="N13" s="2">
        <f>17+15</f>
        <v>32</v>
      </c>
      <c r="O13" s="3">
        <v>2</v>
      </c>
      <c r="P13" s="1">
        <f>25+23+21</f>
        <v>69</v>
      </c>
      <c r="Q13" s="2">
        <f>12+10+8</f>
        <v>30</v>
      </c>
      <c r="R13" s="3">
        <v>3</v>
      </c>
      <c r="S13" s="179">
        <f t="shared" si="1"/>
        <v>230</v>
      </c>
      <c r="T13" s="180">
        <f t="shared" si="2"/>
        <v>120</v>
      </c>
      <c r="U13" s="1">
        <v>9</v>
      </c>
      <c r="V13" s="3">
        <v>3</v>
      </c>
      <c r="W13" s="181">
        <f>I13+L13+O13+R13</f>
        <v>9</v>
      </c>
      <c r="X13" s="121"/>
    </row>
    <row r="14" spans="1:24" ht="30" customHeight="1" x14ac:dyDescent="0.3">
      <c r="A14" s="7" t="s">
        <v>10</v>
      </c>
      <c r="B14" s="197">
        <v>27</v>
      </c>
      <c r="C14" s="198" t="s">
        <v>60</v>
      </c>
      <c r="D14" s="177" t="s">
        <v>252</v>
      </c>
      <c r="E14" s="198" t="s">
        <v>33</v>
      </c>
      <c r="F14" s="7" t="s">
        <v>106</v>
      </c>
      <c r="G14" s="4">
        <f>16+17</f>
        <v>33</v>
      </c>
      <c r="H14" s="199">
        <f>9+8</f>
        <v>17</v>
      </c>
      <c r="I14" s="7">
        <v>2</v>
      </c>
      <c r="J14" s="200">
        <v>48</v>
      </c>
      <c r="K14" s="7">
        <v>27</v>
      </c>
      <c r="L14" s="7">
        <v>2</v>
      </c>
      <c r="M14" s="4">
        <v>46</v>
      </c>
      <c r="N14" s="199">
        <f>9+12</f>
        <v>21</v>
      </c>
      <c r="O14" s="7">
        <v>2</v>
      </c>
      <c r="P14" s="4">
        <f>18+21</f>
        <v>39</v>
      </c>
      <c r="Q14" s="199">
        <f>11+14</f>
        <v>25</v>
      </c>
      <c r="R14" s="7">
        <v>2</v>
      </c>
      <c r="S14" s="200">
        <f t="shared" si="1"/>
        <v>166</v>
      </c>
      <c r="T14" s="199">
        <f t="shared" si="2"/>
        <v>90</v>
      </c>
      <c r="U14" s="4">
        <v>9</v>
      </c>
      <c r="V14" s="7">
        <v>8</v>
      </c>
      <c r="W14" s="201">
        <f>I14+L14+O14+R14</f>
        <v>8</v>
      </c>
    </row>
    <row r="15" spans="1:24" s="66" customFormat="1" ht="31.95" customHeight="1" thickBot="1" x14ac:dyDescent="0.35">
      <c r="A15" s="182" t="s">
        <v>10</v>
      </c>
      <c r="B15" s="360" t="s">
        <v>101</v>
      </c>
      <c r="C15" s="361"/>
      <c r="D15" s="361"/>
      <c r="E15" s="361"/>
      <c r="F15" s="362"/>
      <c r="G15" s="183">
        <f>SUM(G10:G14)</f>
        <v>190</v>
      </c>
      <c r="H15" s="184">
        <f t="shared" ref="H15" si="5">SUM(H10:H14)</f>
        <v>94</v>
      </c>
      <c r="I15" s="185">
        <f t="shared" ref="I15:W15" si="6">SUM(I10:I14)</f>
        <v>8</v>
      </c>
      <c r="J15" s="186">
        <v>214</v>
      </c>
      <c r="K15" s="185">
        <v>110</v>
      </c>
      <c r="L15" s="185">
        <f t="shared" si="6"/>
        <v>8</v>
      </c>
      <c r="M15" s="183">
        <f t="shared" si="6"/>
        <v>204</v>
      </c>
      <c r="N15" s="184">
        <f t="shared" si="6"/>
        <v>105</v>
      </c>
      <c r="O15" s="185">
        <f t="shared" si="6"/>
        <v>9</v>
      </c>
      <c r="P15" s="183">
        <f t="shared" si="6"/>
        <v>228</v>
      </c>
      <c r="Q15" s="184">
        <f t="shared" si="6"/>
        <v>113</v>
      </c>
      <c r="R15" s="185">
        <f t="shared" si="6"/>
        <v>11</v>
      </c>
      <c r="S15" s="187">
        <f t="shared" si="1"/>
        <v>836</v>
      </c>
      <c r="T15" s="188">
        <f t="shared" si="2"/>
        <v>422</v>
      </c>
      <c r="U15" s="183">
        <f t="shared" si="6"/>
        <v>48</v>
      </c>
      <c r="V15" s="185">
        <f t="shared" si="6"/>
        <v>23</v>
      </c>
      <c r="W15" s="189">
        <f t="shared" si="6"/>
        <v>36</v>
      </c>
      <c r="X15" s="121"/>
    </row>
    <row r="16" spans="1:24" s="69" customFormat="1" ht="30.75" customHeight="1" x14ac:dyDescent="0.3">
      <c r="A16" s="190" t="s">
        <v>10</v>
      </c>
      <c r="B16" s="197">
        <v>31</v>
      </c>
      <c r="C16" s="198" t="s">
        <v>79</v>
      </c>
      <c r="D16" s="177" t="s">
        <v>253</v>
      </c>
      <c r="E16" s="176" t="s">
        <v>36</v>
      </c>
      <c r="F16" s="3" t="s">
        <v>107</v>
      </c>
      <c r="G16" s="5">
        <f>18+19</f>
        <v>37</v>
      </c>
      <c r="H16" s="6">
        <f>8+5</f>
        <v>13</v>
      </c>
      <c r="I16" s="7">
        <v>2</v>
      </c>
      <c r="J16" s="200">
        <v>35</v>
      </c>
      <c r="K16" s="7">
        <v>15</v>
      </c>
      <c r="L16" s="7">
        <v>2</v>
      </c>
      <c r="M16" s="5">
        <f>18+18</f>
        <v>36</v>
      </c>
      <c r="N16" s="6">
        <f>9+8</f>
        <v>17</v>
      </c>
      <c r="O16" s="7">
        <v>2</v>
      </c>
      <c r="P16" s="5">
        <f>20+21</f>
        <v>41</v>
      </c>
      <c r="Q16" s="6">
        <f>10+10</f>
        <v>20</v>
      </c>
      <c r="R16" s="7">
        <v>2</v>
      </c>
      <c r="S16" s="200">
        <f t="shared" si="1"/>
        <v>149</v>
      </c>
      <c r="T16" s="199">
        <f t="shared" si="2"/>
        <v>65</v>
      </c>
      <c r="U16" s="4">
        <v>17</v>
      </c>
      <c r="V16" s="202">
        <f>I16+L16+O16+R16</f>
        <v>8</v>
      </c>
      <c r="W16" s="201">
        <f>I16+L16+O16+R16</f>
        <v>8</v>
      </c>
      <c r="X16" s="62"/>
    </row>
    <row r="17" spans="1:24" s="69" customFormat="1" ht="39" customHeight="1" x14ac:dyDescent="0.3">
      <c r="A17" s="7" t="s">
        <v>10</v>
      </c>
      <c r="B17" s="197">
        <v>32</v>
      </c>
      <c r="C17" s="198" t="s">
        <v>85</v>
      </c>
      <c r="D17" s="177" t="s">
        <v>255</v>
      </c>
      <c r="E17" s="176" t="s">
        <v>86</v>
      </c>
      <c r="F17" s="3" t="s">
        <v>107</v>
      </c>
      <c r="G17" s="5">
        <f>18+2+1+1+1+25+23+1</f>
        <v>72</v>
      </c>
      <c r="H17" s="6">
        <f>8+2+1+14+11</f>
        <v>36</v>
      </c>
      <c r="I17" s="7">
        <v>3</v>
      </c>
      <c r="J17" s="200">
        <v>53</v>
      </c>
      <c r="K17" s="7">
        <v>22</v>
      </c>
      <c r="L17" s="7">
        <v>2</v>
      </c>
      <c r="M17" s="5">
        <f>16+3+1+2+1+27+27</f>
        <v>77</v>
      </c>
      <c r="N17" s="6">
        <f>11+1+1+15+12</f>
        <v>40</v>
      </c>
      <c r="O17" s="7">
        <v>3</v>
      </c>
      <c r="P17" s="5">
        <f>17+2+1+1+1+19+23</f>
        <v>64</v>
      </c>
      <c r="Q17" s="6">
        <f>10+1+13+13</f>
        <v>37</v>
      </c>
      <c r="R17" s="7">
        <v>3</v>
      </c>
      <c r="S17" s="200">
        <f t="shared" si="1"/>
        <v>266</v>
      </c>
      <c r="T17" s="199">
        <f t="shared" si="2"/>
        <v>135</v>
      </c>
      <c r="U17" s="4">
        <v>27</v>
      </c>
      <c r="V17" s="202">
        <v>11</v>
      </c>
      <c r="W17" s="201">
        <f>I17+L17+O17+R17</f>
        <v>11</v>
      </c>
      <c r="X17" s="62"/>
    </row>
    <row r="18" spans="1:24" s="66" customFormat="1" ht="31.95" customHeight="1" x14ac:dyDescent="0.3">
      <c r="A18" s="3" t="s">
        <v>10</v>
      </c>
      <c r="B18" s="175">
        <v>33</v>
      </c>
      <c r="C18" s="176" t="s">
        <v>57</v>
      </c>
      <c r="D18" s="177" t="s">
        <v>256</v>
      </c>
      <c r="E18" s="176" t="s">
        <v>18</v>
      </c>
      <c r="F18" s="3" t="s">
        <v>105</v>
      </c>
      <c r="G18" s="1">
        <v>27</v>
      </c>
      <c r="H18" s="2">
        <v>14</v>
      </c>
      <c r="I18" s="3">
        <v>1</v>
      </c>
      <c r="J18" s="178">
        <v>38</v>
      </c>
      <c r="K18" s="3">
        <v>19</v>
      </c>
      <c r="L18" s="3">
        <v>2</v>
      </c>
      <c r="M18" s="1">
        <v>27</v>
      </c>
      <c r="N18" s="2">
        <v>12</v>
      </c>
      <c r="O18" s="3">
        <v>1</v>
      </c>
      <c r="P18" s="1">
        <v>17</v>
      </c>
      <c r="Q18" s="2">
        <v>9</v>
      </c>
      <c r="R18" s="3">
        <v>1</v>
      </c>
      <c r="S18" s="179">
        <f t="shared" si="1"/>
        <v>109</v>
      </c>
      <c r="T18" s="180">
        <f t="shared" si="2"/>
        <v>54</v>
      </c>
      <c r="U18" s="1">
        <v>14</v>
      </c>
      <c r="V18" s="3">
        <v>7</v>
      </c>
      <c r="W18" s="181">
        <f>I18+L18+O18+R18</f>
        <v>5</v>
      </c>
      <c r="X18" s="121"/>
    </row>
    <row r="19" spans="1:24" s="66" customFormat="1" ht="31.95" customHeight="1" x14ac:dyDescent="0.3">
      <c r="A19" s="3" t="s">
        <v>10</v>
      </c>
      <c r="B19" s="175">
        <v>34</v>
      </c>
      <c r="C19" s="176" t="s">
        <v>54</v>
      </c>
      <c r="D19" s="177" t="s">
        <v>254</v>
      </c>
      <c r="E19" s="176" t="s">
        <v>15</v>
      </c>
      <c r="F19" s="3" t="s">
        <v>105</v>
      </c>
      <c r="G19" s="1">
        <f>20+21+20</f>
        <v>61</v>
      </c>
      <c r="H19" s="2">
        <f>13+11+9</f>
        <v>33</v>
      </c>
      <c r="I19" s="3">
        <v>3</v>
      </c>
      <c r="J19" s="178">
        <v>68</v>
      </c>
      <c r="K19" s="3">
        <v>33</v>
      </c>
      <c r="L19" s="3">
        <v>3</v>
      </c>
      <c r="M19" s="1">
        <f>28+27</f>
        <v>55</v>
      </c>
      <c r="N19" s="2">
        <f>16+14</f>
        <v>30</v>
      </c>
      <c r="O19" s="3">
        <v>2</v>
      </c>
      <c r="P19" s="1">
        <f>21+21</f>
        <v>42</v>
      </c>
      <c r="Q19" s="2">
        <f>9+7</f>
        <v>16</v>
      </c>
      <c r="R19" s="3">
        <v>2</v>
      </c>
      <c r="S19" s="179">
        <f t="shared" si="1"/>
        <v>226</v>
      </c>
      <c r="T19" s="180">
        <f t="shared" si="2"/>
        <v>112</v>
      </c>
      <c r="U19" s="1">
        <v>9</v>
      </c>
      <c r="V19" s="3">
        <v>6</v>
      </c>
      <c r="W19" s="181">
        <f>I19+L19+O19+R19</f>
        <v>10</v>
      </c>
      <c r="X19" s="121"/>
    </row>
    <row r="20" spans="1:24" s="66" customFormat="1" ht="31.95" customHeight="1" thickBot="1" x14ac:dyDescent="0.35">
      <c r="A20" s="182"/>
      <c r="B20" s="360" t="s">
        <v>93</v>
      </c>
      <c r="C20" s="361"/>
      <c r="D20" s="361"/>
      <c r="E20" s="361"/>
      <c r="F20" s="362"/>
      <c r="G20" s="203">
        <f>SUM(G16:G19)</f>
        <v>197</v>
      </c>
      <c r="H20" s="184">
        <f t="shared" ref="H20" si="7">SUM(H16:H19)</f>
        <v>96</v>
      </c>
      <c r="I20" s="185">
        <f t="shared" ref="I20:W20" si="8">SUM(I16:I19)</f>
        <v>9</v>
      </c>
      <c r="J20" s="186">
        <v>194</v>
      </c>
      <c r="K20" s="185">
        <v>89</v>
      </c>
      <c r="L20" s="185">
        <f t="shared" si="8"/>
        <v>9</v>
      </c>
      <c r="M20" s="183">
        <f t="shared" si="8"/>
        <v>195</v>
      </c>
      <c r="N20" s="184">
        <f t="shared" si="8"/>
        <v>99</v>
      </c>
      <c r="O20" s="185">
        <f t="shared" si="8"/>
        <v>8</v>
      </c>
      <c r="P20" s="183">
        <f t="shared" si="8"/>
        <v>164</v>
      </c>
      <c r="Q20" s="184">
        <f t="shared" si="8"/>
        <v>82</v>
      </c>
      <c r="R20" s="185">
        <f t="shared" si="8"/>
        <v>8</v>
      </c>
      <c r="S20" s="187">
        <f t="shared" si="1"/>
        <v>750</v>
      </c>
      <c r="T20" s="188">
        <f t="shared" si="2"/>
        <v>366</v>
      </c>
      <c r="U20" s="183">
        <f t="shared" si="8"/>
        <v>67</v>
      </c>
      <c r="V20" s="185">
        <f t="shared" si="8"/>
        <v>32</v>
      </c>
      <c r="W20" s="189">
        <f t="shared" si="8"/>
        <v>34</v>
      </c>
      <c r="X20" s="121"/>
    </row>
    <row r="21" spans="1:24" s="66" customFormat="1" ht="30" customHeight="1" x14ac:dyDescent="0.3">
      <c r="A21" s="166" t="s">
        <v>10</v>
      </c>
      <c r="B21" s="175">
        <v>45</v>
      </c>
      <c r="C21" s="176" t="s">
        <v>65</v>
      </c>
      <c r="D21" s="177" t="s">
        <v>257</v>
      </c>
      <c r="E21" s="176" t="s">
        <v>25</v>
      </c>
      <c r="F21" s="3" t="s">
        <v>105</v>
      </c>
      <c r="G21" s="1">
        <f>20+23</f>
        <v>43</v>
      </c>
      <c r="H21" s="2">
        <f>12+11</f>
        <v>23</v>
      </c>
      <c r="I21" s="3">
        <v>2</v>
      </c>
      <c r="J21" s="178">
        <v>42</v>
      </c>
      <c r="K21" s="3">
        <v>24</v>
      </c>
      <c r="L21" s="3">
        <v>2</v>
      </c>
      <c r="M21" s="1">
        <f>24+24</f>
        <v>48</v>
      </c>
      <c r="N21" s="2">
        <f>11+11</f>
        <v>22</v>
      </c>
      <c r="O21" s="3">
        <v>2</v>
      </c>
      <c r="P21" s="1">
        <f>23+24</f>
        <v>47</v>
      </c>
      <c r="Q21" s="2">
        <f>10+8</f>
        <v>18</v>
      </c>
      <c r="R21" s="3">
        <v>2</v>
      </c>
      <c r="S21" s="179">
        <f t="shared" si="1"/>
        <v>180</v>
      </c>
      <c r="T21" s="180">
        <f t="shared" si="2"/>
        <v>87</v>
      </c>
      <c r="U21" s="1">
        <v>10</v>
      </c>
      <c r="V21" s="3">
        <v>6</v>
      </c>
      <c r="W21" s="181">
        <f>I21+L21+O21+R21</f>
        <v>8</v>
      </c>
      <c r="X21" s="121"/>
    </row>
    <row r="22" spans="1:24" s="69" customFormat="1" ht="30" customHeight="1" x14ac:dyDescent="0.3">
      <c r="A22" s="7" t="s">
        <v>10</v>
      </c>
      <c r="B22" s="197">
        <v>45</v>
      </c>
      <c r="C22" s="198" t="s">
        <v>65</v>
      </c>
      <c r="D22" s="177" t="s">
        <v>258</v>
      </c>
      <c r="E22" s="176" t="s">
        <v>43</v>
      </c>
      <c r="F22" s="3" t="s">
        <v>107</v>
      </c>
      <c r="G22" s="5">
        <f>18+18</f>
        <v>36</v>
      </c>
      <c r="H22" s="6">
        <f>11+9</f>
        <v>20</v>
      </c>
      <c r="I22" s="7">
        <v>2</v>
      </c>
      <c r="J22" s="200">
        <v>39</v>
      </c>
      <c r="K22" s="7">
        <v>18</v>
      </c>
      <c r="L22" s="7">
        <v>2</v>
      </c>
      <c r="M22" s="5">
        <v>26</v>
      </c>
      <c r="N22" s="199">
        <v>9</v>
      </c>
      <c r="O22" s="7">
        <v>1</v>
      </c>
      <c r="P22" s="5">
        <f>18+21</f>
        <v>39</v>
      </c>
      <c r="Q22" s="6">
        <f>10+9</f>
        <v>19</v>
      </c>
      <c r="R22" s="7">
        <v>2</v>
      </c>
      <c r="S22" s="200">
        <f t="shared" si="1"/>
        <v>140</v>
      </c>
      <c r="T22" s="199">
        <f t="shared" si="2"/>
        <v>66</v>
      </c>
      <c r="U22" s="4">
        <v>26</v>
      </c>
      <c r="V22" s="202">
        <v>14</v>
      </c>
      <c r="W22" s="201">
        <f>I22+L22+O22+R22</f>
        <v>7</v>
      </c>
      <c r="X22" s="62"/>
    </row>
    <row r="23" spans="1:24" s="66" customFormat="1" ht="30" customHeight="1" x14ac:dyDescent="0.3">
      <c r="A23" s="3" t="s">
        <v>10</v>
      </c>
      <c r="B23" s="175">
        <v>46</v>
      </c>
      <c r="C23" s="176" t="s">
        <v>73</v>
      </c>
      <c r="D23" s="177" t="s">
        <v>259</v>
      </c>
      <c r="E23" s="176" t="s">
        <v>30</v>
      </c>
      <c r="F23" s="3" t="s">
        <v>105</v>
      </c>
      <c r="G23" s="1">
        <f>29+27</f>
        <v>56</v>
      </c>
      <c r="H23" s="2">
        <f>16+15</f>
        <v>31</v>
      </c>
      <c r="I23" s="3">
        <v>2</v>
      </c>
      <c r="J23" s="178">
        <v>72</v>
      </c>
      <c r="K23" s="3">
        <v>38</v>
      </c>
      <c r="L23" s="3">
        <v>3</v>
      </c>
      <c r="M23" s="1">
        <f>26+25+27</f>
        <v>78</v>
      </c>
      <c r="N23" s="2">
        <f>13+14+15</f>
        <v>42</v>
      </c>
      <c r="O23" s="3">
        <v>3</v>
      </c>
      <c r="P23" s="1">
        <f>24+19+23</f>
        <v>66</v>
      </c>
      <c r="Q23" s="2">
        <f>8+9+10</f>
        <v>27</v>
      </c>
      <c r="R23" s="3">
        <v>3</v>
      </c>
      <c r="S23" s="179">
        <f t="shared" si="1"/>
        <v>272</v>
      </c>
      <c r="T23" s="180">
        <f t="shared" si="2"/>
        <v>138</v>
      </c>
      <c r="U23" s="1">
        <v>17</v>
      </c>
      <c r="V23" s="3">
        <v>6</v>
      </c>
      <c r="W23" s="181">
        <f>I23+L23+O23+R23</f>
        <v>11</v>
      </c>
      <c r="X23" s="121"/>
    </row>
    <row r="24" spans="1:24" s="66" customFormat="1" ht="30" customHeight="1" x14ac:dyDescent="0.3">
      <c r="A24" s="3" t="s">
        <v>10</v>
      </c>
      <c r="B24" s="175">
        <v>47</v>
      </c>
      <c r="C24" s="176" t="s">
        <v>53</v>
      </c>
      <c r="D24" s="177" t="s">
        <v>260</v>
      </c>
      <c r="E24" s="176" t="s">
        <v>55</v>
      </c>
      <c r="F24" s="3" t="s">
        <v>105</v>
      </c>
      <c r="G24" s="1">
        <f>11+13+14</f>
        <v>38</v>
      </c>
      <c r="H24" s="2">
        <f>4+6+7</f>
        <v>17</v>
      </c>
      <c r="I24" s="3">
        <v>1.5</v>
      </c>
      <c r="J24" s="178">
        <v>28</v>
      </c>
      <c r="K24" s="3">
        <v>13</v>
      </c>
      <c r="L24" s="3">
        <v>1.5</v>
      </c>
      <c r="M24" s="1">
        <f>18+19</f>
        <v>37</v>
      </c>
      <c r="N24" s="2">
        <f>8+9</f>
        <v>17</v>
      </c>
      <c r="O24" s="3">
        <v>2</v>
      </c>
      <c r="P24" s="1">
        <v>29</v>
      </c>
      <c r="Q24" s="2">
        <v>16</v>
      </c>
      <c r="R24" s="3">
        <v>1</v>
      </c>
      <c r="S24" s="179">
        <f t="shared" si="1"/>
        <v>132</v>
      </c>
      <c r="T24" s="180">
        <f t="shared" si="2"/>
        <v>63</v>
      </c>
      <c r="U24" s="1">
        <v>7</v>
      </c>
      <c r="V24" s="3">
        <v>4</v>
      </c>
      <c r="W24" s="181">
        <f>I24+L24+O24+R24</f>
        <v>6</v>
      </c>
      <c r="X24" s="121"/>
    </row>
    <row r="25" spans="1:24" s="66" customFormat="1" ht="30" customHeight="1" thickBot="1" x14ac:dyDescent="0.35">
      <c r="A25" s="182" t="s">
        <v>10</v>
      </c>
      <c r="B25" s="360" t="s">
        <v>94</v>
      </c>
      <c r="C25" s="361"/>
      <c r="D25" s="361"/>
      <c r="E25" s="361"/>
      <c r="F25" s="362"/>
      <c r="G25" s="203">
        <f>SUM(G21:G24)</f>
        <v>173</v>
      </c>
      <c r="H25" s="184">
        <f t="shared" ref="H25" si="9">SUM(H21:H24)</f>
        <v>91</v>
      </c>
      <c r="I25" s="185">
        <f t="shared" ref="I25:W25" si="10">SUM(I21:I24)</f>
        <v>7.5</v>
      </c>
      <c r="J25" s="186">
        <v>181</v>
      </c>
      <c r="K25" s="185">
        <v>93</v>
      </c>
      <c r="L25" s="185">
        <f t="shared" si="10"/>
        <v>8.5</v>
      </c>
      <c r="M25" s="183">
        <f t="shared" si="10"/>
        <v>189</v>
      </c>
      <c r="N25" s="184">
        <f t="shared" si="10"/>
        <v>90</v>
      </c>
      <c r="O25" s="185">
        <f t="shared" si="10"/>
        <v>8</v>
      </c>
      <c r="P25" s="183">
        <f t="shared" si="10"/>
        <v>181</v>
      </c>
      <c r="Q25" s="184">
        <f t="shared" si="10"/>
        <v>80</v>
      </c>
      <c r="R25" s="185">
        <f t="shared" si="10"/>
        <v>8</v>
      </c>
      <c r="S25" s="187">
        <f t="shared" si="1"/>
        <v>724</v>
      </c>
      <c r="T25" s="188">
        <f t="shared" si="2"/>
        <v>354</v>
      </c>
      <c r="U25" s="183">
        <f t="shared" si="10"/>
        <v>60</v>
      </c>
      <c r="V25" s="185">
        <f t="shared" si="10"/>
        <v>30</v>
      </c>
      <c r="W25" s="189">
        <f t="shared" si="10"/>
        <v>32</v>
      </c>
      <c r="X25" s="121"/>
    </row>
    <row r="26" spans="1:24" s="66" customFormat="1" ht="30" customHeight="1" thickBot="1" x14ac:dyDescent="0.35">
      <c r="A26" s="204" t="s">
        <v>10</v>
      </c>
      <c r="B26" s="363" t="s">
        <v>95</v>
      </c>
      <c r="C26" s="364"/>
      <c r="D26" s="364"/>
      <c r="E26" s="364"/>
      <c r="F26" s="365"/>
      <c r="G26" s="203">
        <f>G9+G15+G20+G25</f>
        <v>636</v>
      </c>
      <c r="H26" s="184">
        <f t="shared" ref="H26" si="11">H9+H15+H20+H25</f>
        <v>316</v>
      </c>
      <c r="I26" s="185">
        <f t="shared" ref="I26:W26" si="12">I9+I15+I20+I25</f>
        <v>27.75</v>
      </c>
      <c r="J26" s="186">
        <v>664</v>
      </c>
      <c r="K26" s="185">
        <v>332</v>
      </c>
      <c r="L26" s="205">
        <f t="shared" si="12"/>
        <v>28.75</v>
      </c>
      <c r="M26" s="183">
        <f t="shared" si="12"/>
        <v>660</v>
      </c>
      <c r="N26" s="184">
        <f t="shared" si="12"/>
        <v>330</v>
      </c>
      <c r="O26" s="185">
        <f t="shared" si="12"/>
        <v>28.25</v>
      </c>
      <c r="P26" s="183">
        <f t="shared" si="12"/>
        <v>623</v>
      </c>
      <c r="Q26" s="184">
        <f t="shared" si="12"/>
        <v>305</v>
      </c>
      <c r="R26" s="185">
        <f t="shared" si="12"/>
        <v>29.25</v>
      </c>
      <c r="S26" s="206">
        <f t="shared" si="1"/>
        <v>2583</v>
      </c>
      <c r="T26" s="207">
        <f t="shared" si="2"/>
        <v>1283</v>
      </c>
      <c r="U26" s="183">
        <f t="shared" si="12"/>
        <v>193</v>
      </c>
      <c r="V26" s="185">
        <f t="shared" si="12"/>
        <v>94</v>
      </c>
      <c r="W26" s="189">
        <f t="shared" si="12"/>
        <v>114</v>
      </c>
      <c r="X26" s="121"/>
    </row>
    <row r="27" spans="1:24" s="66" customFormat="1" ht="31.95" customHeight="1" x14ac:dyDescent="0.3">
      <c r="A27" s="166" t="s">
        <v>10</v>
      </c>
      <c r="B27" s="175">
        <v>51</v>
      </c>
      <c r="C27" s="176" t="s">
        <v>66</v>
      </c>
      <c r="D27" s="177" t="s">
        <v>261</v>
      </c>
      <c r="E27" s="176" t="s">
        <v>26</v>
      </c>
      <c r="F27" s="3" t="s">
        <v>105</v>
      </c>
      <c r="G27" s="1">
        <f>23+23+23</f>
        <v>69</v>
      </c>
      <c r="H27" s="2">
        <f>11+15+11</f>
        <v>37</v>
      </c>
      <c r="I27" s="3">
        <v>3</v>
      </c>
      <c r="J27" s="178">
        <v>75</v>
      </c>
      <c r="K27" s="3">
        <v>34</v>
      </c>
      <c r="L27" s="3">
        <v>3</v>
      </c>
      <c r="M27" s="1">
        <f>26+26+25</f>
        <v>77</v>
      </c>
      <c r="N27" s="2">
        <f>15+15+12</f>
        <v>42</v>
      </c>
      <c r="O27" s="3">
        <v>3</v>
      </c>
      <c r="P27" s="1">
        <f>25+24+23</f>
        <v>72</v>
      </c>
      <c r="Q27" s="2">
        <f>13+11+10</f>
        <v>34</v>
      </c>
      <c r="R27" s="3">
        <v>3</v>
      </c>
      <c r="S27" s="179">
        <f t="shared" si="1"/>
        <v>293</v>
      </c>
      <c r="T27" s="180">
        <f t="shared" si="2"/>
        <v>147</v>
      </c>
      <c r="U27" s="1">
        <v>43</v>
      </c>
      <c r="V27" s="3">
        <v>20</v>
      </c>
      <c r="W27" s="181">
        <f>I27+L27+O27+R27</f>
        <v>12</v>
      </c>
      <c r="X27" s="121"/>
    </row>
    <row r="28" spans="1:24" s="69" customFormat="1" ht="75.75" customHeight="1" x14ac:dyDescent="0.3">
      <c r="A28" s="7" t="s">
        <v>10</v>
      </c>
      <c r="B28" s="197">
        <v>51</v>
      </c>
      <c r="C28" s="198" t="s">
        <v>66</v>
      </c>
      <c r="D28" s="177" t="s">
        <v>263</v>
      </c>
      <c r="E28" s="176" t="s">
        <v>91</v>
      </c>
      <c r="F28" s="3" t="s">
        <v>106</v>
      </c>
      <c r="G28" s="4">
        <v>109</v>
      </c>
      <c r="H28" s="199">
        <v>57</v>
      </c>
      <c r="I28" s="7">
        <v>4</v>
      </c>
      <c r="J28" s="200">
        <v>114</v>
      </c>
      <c r="K28" s="7">
        <v>57</v>
      </c>
      <c r="L28" s="7">
        <v>4</v>
      </c>
      <c r="M28" s="4">
        <v>96</v>
      </c>
      <c r="N28" s="199">
        <v>54</v>
      </c>
      <c r="O28" s="7">
        <v>4</v>
      </c>
      <c r="P28" s="4">
        <v>112</v>
      </c>
      <c r="Q28" s="199">
        <v>60</v>
      </c>
      <c r="R28" s="7">
        <v>4</v>
      </c>
      <c r="S28" s="200">
        <f t="shared" si="1"/>
        <v>431</v>
      </c>
      <c r="T28" s="199">
        <f t="shared" si="2"/>
        <v>228</v>
      </c>
      <c r="U28" s="4">
        <v>40</v>
      </c>
      <c r="V28" s="7">
        <v>20</v>
      </c>
      <c r="W28" s="201">
        <f>I28+L28+O28+R28</f>
        <v>16</v>
      </c>
      <c r="X28" s="62"/>
    </row>
    <row r="29" spans="1:24" s="69" customFormat="1" ht="30" customHeight="1" x14ac:dyDescent="0.3">
      <c r="A29" s="7" t="s">
        <v>10</v>
      </c>
      <c r="B29" s="197">
        <v>51</v>
      </c>
      <c r="C29" s="198" t="s">
        <v>66</v>
      </c>
      <c r="D29" s="177" t="s">
        <v>262</v>
      </c>
      <c r="E29" s="176" t="s">
        <v>41</v>
      </c>
      <c r="F29" s="3" t="s">
        <v>107</v>
      </c>
      <c r="G29" s="5">
        <f>28+28+29</f>
        <v>85</v>
      </c>
      <c r="H29" s="6">
        <f>12+13+13</f>
        <v>38</v>
      </c>
      <c r="I29" s="7">
        <v>3</v>
      </c>
      <c r="J29" s="200">
        <v>90</v>
      </c>
      <c r="K29" s="7">
        <v>49</v>
      </c>
      <c r="L29" s="7">
        <v>3</v>
      </c>
      <c r="M29" s="5">
        <f>29+29+29</f>
        <v>87</v>
      </c>
      <c r="N29" s="6">
        <f>15+12+14</f>
        <v>41</v>
      </c>
      <c r="O29" s="7">
        <v>3</v>
      </c>
      <c r="P29" s="5">
        <f>24+25+25+23</f>
        <v>97</v>
      </c>
      <c r="Q29" s="6">
        <f>11+12+12+13</f>
        <v>48</v>
      </c>
      <c r="R29" s="7">
        <v>4</v>
      </c>
      <c r="S29" s="200">
        <f t="shared" si="1"/>
        <v>359</v>
      </c>
      <c r="T29" s="199">
        <f t="shared" si="2"/>
        <v>176</v>
      </c>
      <c r="U29" s="4">
        <v>18</v>
      </c>
      <c r="V29" s="202">
        <v>7</v>
      </c>
      <c r="W29" s="201">
        <f>I29+L29+O29+R29</f>
        <v>13</v>
      </c>
      <c r="X29" s="62"/>
    </row>
    <row r="30" spans="1:24" s="66" customFormat="1" ht="30" customHeight="1" x14ac:dyDescent="0.3">
      <c r="A30" s="3" t="s">
        <v>10</v>
      </c>
      <c r="B30" s="175">
        <v>52</v>
      </c>
      <c r="C30" s="176" t="s">
        <v>72</v>
      </c>
      <c r="D30" s="177" t="s">
        <v>264</v>
      </c>
      <c r="E30" s="176" t="s">
        <v>29</v>
      </c>
      <c r="F30" s="3" t="s">
        <v>105</v>
      </c>
      <c r="G30" s="1">
        <f>23+23</f>
        <v>46</v>
      </c>
      <c r="H30" s="2">
        <f>13+12</f>
        <v>25</v>
      </c>
      <c r="I30" s="3">
        <v>2</v>
      </c>
      <c r="J30" s="178">
        <v>49</v>
      </c>
      <c r="K30" s="3">
        <v>24</v>
      </c>
      <c r="L30" s="3">
        <v>2</v>
      </c>
      <c r="M30" s="1">
        <f>23+22</f>
        <v>45</v>
      </c>
      <c r="N30" s="2">
        <f>13+11</f>
        <v>24</v>
      </c>
      <c r="O30" s="3">
        <v>2</v>
      </c>
      <c r="P30" s="1">
        <f>23+24</f>
        <v>47</v>
      </c>
      <c r="Q30" s="2">
        <f>8+8</f>
        <v>16</v>
      </c>
      <c r="R30" s="3">
        <v>2</v>
      </c>
      <c r="S30" s="179">
        <f t="shared" si="1"/>
        <v>187</v>
      </c>
      <c r="T30" s="180">
        <f t="shared" si="2"/>
        <v>89</v>
      </c>
      <c r="U30" s="1">
        <v>11</v>
      </c>
      <c r="V30" s="3">
        <v>6</v>
      </c>
      <c r="W30" s="181">
        <f>I30+L30+O30+R30</f>
        <v>8</v>
      </c>
      <c r="X30" s="121"/>
    </row>
    <row r="31" spans="1:24" s="69" customFormat="1" ht="44.25" customHeight="1" x14ac:dyDescent="0.3">
      <c r="A31" s="7" t="s">
        <v>10</v>
      </c>
      <c r="B31" s="197">
        <v>54</v>
      </c>
      <c r="C31" s="198" t="s">
        <v>89</v>
      </c>
      <c r="D31" s="177" t="s">
        <v>265</v>
      </c>
      <c r="E31" s="176" t="s">
        <v>88</v>
      </c>
      <c r="F31" s="3" t="s">
        <v>107</v>
      </c>
      <c r="G31" s="5">
        <f>20+20</f>
        <v>40</v>
      </c>
      <c r="H31" s="6">
        <f>11+10</f>
        <v>21</v>
      </c>
      <c r="I31" s="7">
        <v>2</v>
      </c>
      <c r="J31" s="200">
        <v>55</v>
      </c>
      <c r="K31" s="7">
        <v>27</v>
      </c>
      <c r="L31" s="7">
        <v>2</v>
      </c>
      <c r="M31" s="5">
        <f>22+21+21</f>
        <v>64</v>
      </c>
      <c r="N31" s="6">
        <f>10+9+12</f>
        <v>31</v>
      </c>
      <c r="O31" s="7">
        <v>3</v>
      </c>
      <c r="P31" s="5">
        <f>26+28+25</f>
        <v>79</v>
      </c>
      <c r="Q31" s="6">
        <f>8+11+8</f>
        <v>27</v>
      </c>
      <c r="R31" s="7">
        <v>3</v>
      </c>
      <c r="S31" s="200">
        <f t="shared" si="1"/>
        <v>238</v>
      </c>
      <c r="T31" s="199">
        <f t="shared" si="2"/>
        <v>106</v>
      </c>
      <c r="U31" s="4">
        <v>3</v>
      </c>
      <c r="V31" s="202">
        <v>1</v>
      </c>
      <c r="W31" s="201">
        <f>I31+L31+O31+R31</f>
        <v>10</v>
      </c>
      <c r="X31" s="62"/>
    </row>
    <row r="32" spans="1:24" s="69" customFormat="1" ht="30" customHeight="1" x14ac:dyDescent="0.3">
      <c r="A32" s="7" t="s">
        <v>10</v>
      </c>
      <c r="B32" s="197">
        <v>56</v>
      </c>
      <c r="C32" s="198" t="s">
        <v>83</v>
      </c>
      <c r="D32" s="177" t="s">
        <v>266</v>
      </c>
      <c r="E32" s="176" t="s">
        <v>38</v>
      </c>
      <c r="F32" s="3" t="s">
        <v>107</v>
      </c>
      <c r="G32" s="5">
        <f>24+23+25</f>
        <v>72</v>
      </c>
      <c r="H32" s="6">
        <f>16+9+13</f>
        <v>38</v>
      </c>
      <c r="I32" s="7">
        <v>3</v>
      </c>
      <c r="J32" s="200">
        <v>65</v>
      </c>
      <c r="K32" s="7">
        <v>26</v>
      </c>
      <c r="L32" s="7">
        <v>3</v>
      </c>
      <c r="M32" s="5">
        <f>22+23+22</f>
        <v>67</v>
      </c>
      <c r="N32" s="6">
        <f>12+13+15</f>
        <v>40</v>
      </c>
      <c r="O32" s="7">
        <v>3</v>
      </c>
      <c r="P32" s="5">
        <f>21+20+19</f>
        <v>60</v>
      </c>
      <c r="Q32" s="6">
        <f>10+12+9</f>
        <v>31</v>
      </c>
      <c r="R32" s="7">
        <v>3</v>
      </c>
      <c r="S32" s="200">
        <f t="shared" si="1"/>
        <v>264</v>
      </c>
      <c r="T32" s="199">
        <f t="shared" si="2"/>
        <v>135</v>
      </c>
      <c r="U32" s="4">
        <v>11</v>
      </c>
      <c r="V32" s="202">
        <v>2</v>
      </c>
      <c r="W32" s="201">
        <f>I32+L32+O32+R32</f>
        <v>12</v>
      </c>
      <c r="X32" s="62"/>
    </row>
    <row r="33" spans="1:24" s="66" customFormat="1" ht="30" customHeight="1" x14ac:dyDescent="0.3">
      <c r="A33" s="3" t="s">
        <v>10</v>
      </c>
      <c r="B33" s="175">
        <v>57</v>
      </c>
      <c r="C33" s="176" t="s">
        <v>63</v>
      </c>
      <c r="D33" s="177" t="s">
        <v>267</v>
      </c>
      <c r="E33" s="176" t="s">
        <v>23</v>
      </c>
      <c r="F33" s="3" t="s">
        <v>105</v>
      </c>
      <c r="G33" s="1">
        <f>27+26+26</f>
        <v>79</v>
      </c>
      <c r="H33" s="2">
        <f>12+12+13</f>
        <v>37</v>
      </c>
      <c r="I33" s="3">
        <v>3</v>
      </c>
      <c r="J33" s="178">
        <v>86</v>
      </c>
      <c r="K33" s="3">
        <v>43</v>
      </c>
      <c r="L33" s="3">
        <v>4</v>
      </c>
      <c r="M33" s="1">
        <f>26+27+27</f>
        <v>80</v>
      </c>
      <c r="N33" s="2">
        <f>12+12+13</f>
        <v>37</v>
      </c>
      <c r="O33" s="3">
        <v>3</v>
      </c>
      <c r="P33" s="1">
        <f>26+26+26</f>
        <v>78</v>
      </c>
      <c r="Q33" s="2">
        <f>13+12+15</f>
        <v>40</v>
      </c>
      <c r="R33" s="3">
        <v>3</v>
      </c>
      <c r="S33" s="179">
        <f t="shared" si="1"/>
        <v>323</v>
      </c>
      <c r="T33" s="180">
        <f t="shared" si="2"/>
        <v>157</v>
      </c>
      <c r="U33" s="1">
        <v>14</v>
      </c>
      <c r="V33" s="3">
        <v>9</v>
      </c>
      <c r="W33" s="181">
        <f>I33+L33+O33+R33</f>
        <v>13</v>
      </c>
      <c r="X33" s="121"/>
    </row>
    <row r="34" spans="1:24" s="65" customFormat="1" ht="34.5" customHeight="1" x14ac:dyDescent="0.3">
      <c r="A34" s="3" t="s">
        <v>10</v>
      </c>
      <c r="B34" s="208">
        <v>58</v>
      </c>
      <c r="C34" s="209" t="s">
        <v>50</v>
      </c>
      <c r="D34" s="210" t="s">
        <v>268</v>
      </c>
      <c r="E34" s="209" t="s">
        <v>12</v>
      </c>
      <c r="F34" s="211" t="s">
        <v>105</v>
      </c>
      <c r="G34" s="1">
        <f>25+26</f>
        <v>51</v>
      </c>
      <c r="H34" s="2">
        <f>15+17</f>
        <v>32</v>
      </c>
      <c r="I34" s="3">
        <v>2</v>
      </c>
      <c r="J34" s="178">
        <v>47</v>
      </c>
      <c r="K34" s="3">
        <v>22</v>
      </c>
      <c r="L34" s="3">
        <v>2</v>
      </c>
      <c r="M34" s="1">
        <f>15+18</f>
        <v>33</v>
      </c>
      <c r="N34" s="2">
        <f>7+8</f>
        <v>15</v>
      </c>
      <c r="O34" s="3">
        <v>2</v>
      </c>
      <c r="P34" s="1">
        <f>24+25</f>
        <v>49</v>
      </c>
      <c r="Q34" s="2">
        <f>13+12</f>
        <v>25</v>
      </c>
      <c r="R34" s="3">
        <v>2</v>
      </c>
      <c r="S34" s="179">
        <f t="shared" si="1"/>
        <v>180</v>
      </c>
      <c r="T34" s="180">
        <f t="shared" si="2"/>
        <v>94</v>
      </c>
      <c r="U34" s="1">
        <v>7</v>
      </c>
      <c r="V34" s="3">
        <v>5</v>
      </c>
      <c r="W34" s="181">
        <f>I34+L34+O34+R34</f>
        <v>8</v>
      </c>
      <c r="X34" s="120"/>
    </row>
    <row r="35" spans="1:24" s="66" customFormat="1" ht="30" customHeight="1" thickBot="1" x14ac:dyDescent="0.35">
      <c r="A35" s="182" t="s">
        <v>10</v>
      </c>
      <c r="B35" s="360" t="s">
        <v>96</v>
      </c>
      <c r="C35" s="361"/>
      <c r="D35" s="361"/>
      <c r="E35" s="361"/>
      <c r="F35" s="362"/>
      <c r="G35" s="203">
        <f>SUM(G27:G34)</f>
        <v>551</v>
      </c>
      <c r="H35" s="184">
        <f t="shared" ref="H35" si="13">SUM(H27:H34)</f>
        <v>285</v>
      </c>
      <c r="I35" s="185">
        <f t="shared" ref="I35:W35" si="14">SUM(I27:I34)</f>
        <v>22</v>
      </c>
      <c r="J35" s="186">
        <v>581</v>
      </c>
      <c r="K35" s="185">
        <v>282</v>
      </c>
      <c r="L35" s="212">
        <f t="shared" si="14"/>
        <v>23</v>
      </c>
      <c r="M35" s="183">
        <f t="shared" si="14"/>
        <v>549</v>
      </c>
      <c r="N35" s="184">
        <f t="shared" si="14"/>
        <v>284</v>
      </c>
      <c r="O35" s="185">
        <f t="shared" si="14"/>
        <v>23</v>
      </c>
      <c r="P35" s="183">
        <f t="shared" si="14"/>
        <v>594</v>
      </c>
      <c r="Q35" s="184">
        <f t="shared" si="14"/>
        <v>281</v>
      </c>
      <c r="R35" s="185">
        <f t="shared" si="14"/>
        <v>24</v>
      </c>
      <c r="S35" s="206">
        <f t="shared" si="1"/>
        <v>2275</v>
      </c>
      <c r="T35" s="207">
        <f t="shared" si="2"/>
        <v>1132</v>
      </c>
      <c r="U35" s="183">
        <f t="shared" si="14"/>
        <v>147</v>
      </c>
      <c r="V35" s="185">
        <f t="shared" si="14"/>
        <v>70</v>
      </c>
      <c r="W35" s="189">
        <f t="shared" si="14"/>
        <v>92</v>
      </c>
      <c r="X35" s="121"/>
    </row>
    <row r="36" spans="1:24" s="66" customFormat="1" ht="45" customHeight="1" x14ac:dyDescent="0.3">
      <c r="A36" s="166" t="s">
        <v>10</v>
      </c>
      <c r="B36" s="175">
        <v>61</v>
      </c>
      <c r="C36" s="176" t="s">
        <v>69</v>
      </c>
      <c r="D36" s="177" t="s">
        <v>269</v>
      </c>
      <c r="E36" s="176" t="s">
        <v>90</v>
      </c>
      <c r="F36" s="3" t="s">
        <v>105</v>
      </c>
      <c r="G36" s="1">
        <f>8+8+2+1+12+14+12+13</f>
        <v>70</v>
      </c>
      <c r="H36" s="2">
        <f>1+4+8+10+5+5</f>
        <v>33</v>
      </c>
      <c r="I36" s="3">
        <v>3</v>
      </c>
      <c r="J36" s="178">
        <v>62</v>
      </c>
      <c r="K36" s="3">
        <v>31</v>
      </c>
      <c r="L36" s="3">
        <v>3</v>
      </c>
      <c r="M36" s="1">
        <f>1+3+1+1+2+3+3+14+1+4+20+18</f>
        <v>71</v>
      </c>
      <c r="N36" s="2">
        <f>1+3+1+1+1+4+3+11+9</f>
        <v>34</v>
      </c>
      <c r="O36" s="3">
        <v>3</v>
      </c>
      <c r="P36" s="1">
        <f>17+1+4+19+19+1+3</f>
        <v>64</v>
      </c>
      <c r="Q36" s="2">
        <f>8+2+10+11+1</f>
        <v>32</v>
      </c>
      <c r="R36" s="3">
        <v>3</v>
      </c>
      <c r="S36" s="179">
        <f t="shared" si="1"/>
        <v>267</v>
      </c>
      <c r="T36" s="180">
        <f t="shared" si="2"/>
        <v>130</v>
      </c>
      <c r="U36" s="1">
        <v>24</v>
      </c>
      <c r="V36" s="3">
        <v>10</v>
      </c>
      <c r="W36" s="181">
        <f>I36+L36+O36+R36</f>
        <v>12</v>
      </c>
      <c r="X36" s="121"/>
    </row>
    <row r="37" spans="1:24" s="69" customFormat="1" ht="45" customHeight="1" x14ac:dyDescent="0.3">
      <c r="A37" s="213" t="s">
        <v>10</v>
      </c>
      <c r="B37" s="197">
        <v>61</v>
      </c>
      <c r="C37" s="198" t="s">
        <v>69</v>
      </c>
      <c r="D37" s="177" t="s">
        <v>271</v>
      </c>
      <c r="E37" s="176" t="s">
        <v>45</v>
      </c>
      <c r="F37" s="3" t="s">
        <v>106</v>
      </c>
      <c r="G37" s="4">
        <f>20+20</f>
        <v>40</v>
      </c>
      <c r="H37" s="199">
        <f>12+10</f>
        <v>22</v>
      </c>
      <c r="I37" s="7">
        <v>2</v>
      </c>
      <c r="J37" s="200">
        <v>49</v>
      </c>
      <c r="K37" s="7">
        <v>28</v>
      </c>
      <c r="L37" s="7">
        <v>2</v>
      </c>
      <c r="M37" s="4">
        <v>36</v>
      </c>
      <c r="N37" s="199">
        <f>11+12</f>
        <v>23</v>
      </c>
      <c r="O37" s="7">
        <v>2</v>
      </c>
      <c r="P37" s="4">
        <f>21+23</f>
        <v>44</v>
      </c>
      <c r="Q37" s="199">
        <f>9+12</f>
        <v>21</v>
      </c>
      <c r="R37" s="7">
        <v>2</v>
      </c>
      <c r="S37" s="200">
        <f t="shared" si="1"/>
        <v>169</v>
      </c>
      <c r="T37" s="199">
        <f t="shared" si="2"/>
        <v>94</v>
      </c>
      <c r="U37" s="4">
        <v>41</v>
      </c>
      <c r="V37" s="7">
        <v>19</v>
      </c>
      <c r="W37" s="201">
        <f>I37+L37+O37+R37</f>
        <v>8</v>
      </c>
      <c r="X37" s="62"/>
    </row>
    <row r="38" spans="1:24" s="69" customFormat="1" ht="31.2" customHeight="1" x14ac:dyDescent="0.3">
      <c r="A38" s="190" t="s">
        <v>10</v>
      </c>
      <c r="B38" s="214">
        <v>62</v>
      </c>
      <c r="C38" s="215" t="s">
        <v>77</v>
      </c>
      <c r="D38" s="216" t="s">
        <v>272</v>
      </c>
      <c r="E38" s="217" t="s">
        <v>76</v>
      </c>
      <c r="F38" s="2" t="s">
        <v>107</v>
      </c>
      <c r="G38" s="4">
        <f>21+19</f>
        <v>40</v>
      </c>
      <c r="H38" s="199">
        <f>10+10</f>
        <v>20</v>
      </c>
      <c r="I38" s="7">
        <v>2</v>
      </c>
      <c r="J38" s="200">
        <v>58</v>
      </c>
      <c r="K38" s="199">
        <v>29</v>
      </c>
      <c r="L38" s="218">
        <v>3</v>
      </c>
      <c r="M38" s="4">
        <v>40</v>
      </c>
      <c r="N38" s="199">
        <f>11+13</f>
        <v>24</v>
      </c>
      <c r="O38" s="7">
        <v>2</v>
      </c>
      <c r="P38" s="4">
        <f>25+24</f>
        <v>49</v>
      </c>
      <c r="Q38" s="199">
        <f>11+9</f>
        <v>20</v>
      </c>
      <c r="R38" s="7">
        <v>2</v>
      </c>
      <c r="S38" s="4">
        <f t="shared" si="1"/>
        <v>187</v>
      </c>
      <c r="T38" s="199">
        <f t="shared" si="2"/>
        <v>93</v>
      </c>
      <c r="U38" s="4">
        <v>10</v>
      </c>
      <c r="V38" s="7">
        <v>7</v>
      </c>
      <c r="W38" s="201">
        <f>I38+L38+O38+R38</f>
        <v>9</v>
      </c>
      <c r="X38" s="62"/>
    </row>
    <row r="39" spans="1:24" s="69" customFormat="1" ht="36.6" x14ac:dyDescent="0.3">
      <c r="A39" s="7" t="s">
        <v>10</v>
      </c>
      <c r="B39" s="214">
        <v>63</v>
      </c>
      <c r="C39" s="215" t="s">
        <v>80</v>
      </c>
      <c r="D39" s="216" t="s">
        <v>273</v>
      </c>
      <c r="E39" s="217" t="s">
        <v>87</v>
      </c>
      <c r="F39" s="2" t="s">
        <v>107</v>
      </c>
      <c r="G39" s="5">
        <f>19+18</f>
        <v>37</v>
      </c>
      <c r="H39" s="6">
        <f>7+7</f>
        <v>14</v>
      </c>
      <c r="I39" s="7">
        <v>2</v>
      </c>
      <c r="J39" s="200">
        <v>44</v>
      </c>
      <c r="K39" s="199">
        <v>23</v>
      </c>
      <c r="L39" s="218">
        <v>2</v>
      </c>
      <c r="M39" s="5">
        <f>19+19</f>
        <v>38</v>
      </c>
      <c r="N39" s="6">
        <f>8+12</f>
        <v>20</v>
      </c>
      <c r="O39" s="7">
        <v>2</v>
      </c>
      <c r="P39" s="5">
        <f>22+21</f>
        <v>43</v>
      </c>
      <c r="Q39" s="6">
        <f>13+14</f>
        <v>27</v>
      </c>
      <c r="R39" s="7">
        <v>2</v>
      </c>
      <c r="S39" s="4">
        <f t="shared" si="1"/>
        <v>162</v>
      </c>
      <c r="T39" s="199">
        <f t="shared" si="2"/>
        <v>84</v>
      </c>
      <c r="U39" s="4">
        <v>10</v>
      </c>
      <c r="V39" s="202">
        <v>6</v>
      </c>
      <c r="W39" s="201">
        <f>I39+L39+O39+R39</f>
        <v>8</v>
      </c>
      <c r="X39" s="62"/>
    </row>
    <row r="40" spans="1:24" s="69" customFormat="1" ht="45" customHeight="1" x14ac:dyDescent="0.3">
      <c r="A40" s="7" t="s">
        <v>10</v>
      </c>
      <c r="B40" s="214">
        <v>63</v>
      </c>
      <c r="C40" s="215" t="s">
        <v>80</v>
      </c>
      <c r="D40" s="216" t="s">
        <v>274</v>
      </c>
      <c r="E40" s="217" t="s">
        <v>84</v>
      </c>
      <c r="F40" s="2" t="s">
        <v>107</v>
      </c>
      <c r="G40" s="5">
        <f>25+23</f>
        <v>48</v>
      </c>
      <c r="H40" s="6">
        <f>11+12</f>
        <v>23</v>
      </c>
      <c r="I40" s="7">
        <v>2</v>
      </c>
      <c r="J40" s="200">
        <v>54</v>
      </c>
      <c r="K40" s="199">
        <v>30</v>
      </c>
      <c r="L40" s="218">
        <v>3</v>
      </c>
      <c r="M40" s="5">
        <f>4+5+2+22+21+20</f>
        <v>74</v>
      </c>
      <c r="N40" s="6">
        <f>2+1+0+10+9+8</f>
        <v>30</v>
      </c>
      <c r="O40" s="7">
        <v>3</v>
      </c>
      <c r="P40" s="5">
        <f>21+17+18</f>
        <v>56</v>
      </c>
      <c r="Q40" s="6">
        <f>9+5+11</f>
        <v>25</v>
      </c>
      <c r="R40" s="7">
        <v>3</v>
      </c>
      <c r="S40" s="4">
        <f t="shared" si="1"/>
        <v>232</v>
      </c>
      <c r="T40" s="199">
        <f t="shared" si="2"/>
        <v>108</v>
      </c>
      <c r="U40" s="4">
        <v>52</v>
      </c>
      <c r="V40" s="202">
        <v>26</v>
      </c>
      <c r="W40" s="201">
        <f>I40+L40+O40+R40</f>
        <v>11</v>
      </c>
      <c r="X40" s="62"/>
    </row>
    <row r="41" spans="1:24" s="66" customFormat="1" ht="31.95" customHeight="1" x14ac:dyDescent="0.3">
      <c r="A41" s="3" t="s">
        <v>10</v>
      </c>
      <c r="B41" s="219">
        <v>68</v>
      </c>
      <c r="C41" s="220" t="s">
        <v>56</v>
      </c>
      <c r="D41" s="221" t="s">
        <v>275</v>
      </c>
      <c r="E41" s="220" t="s">
        <v>17</v>
      </c>
      <c r="F41" s="222" t="s">
        <v>105</v>
      </c>
      <c r="G41" s="1">
        <v>29</v>
      </c>
      <c r="H41" s="2">
        <v>15</v>
      </c>
      <c r="I41" s="3">
        <v>1</v>
      </c>
      <c r="J41" s="178">
        <v>25</v>
      </c>
      <c r="K41" s="2">
        <v>8</v>
      </c>
      <c r="L41" s="223">
        <v>1</v>
      </c>
      <c r="M41" s="1">
        <v>24</v>
      </c>
      <c r="N41" s="2">
        <v>15</v>
      </c>
      <c r="O41" s="3">
        <v>1</v>
      </c>
      <c r="P41" s="1">
        <v>22</v>
      </c>
      <c r="Q41" s="2">
        <v>11</v>
      </c>
      <c r="R41" s="3">
        <v>1</v>
      </c>
      <c r="S41" s="224">
        <f t="shared" si="1"/>
        <v>100</v>
      </c>
      <c r="T41" s="180">
        <f t="shared" si="2"/>
        <v>49</v>
      </c>
      <c r="U41" s="1">
        <v>1</v>
      </c>
      <c r="V41" s="3">
        <v>0</v>
      </c>
      <c r="W41" s="181">
        <f>I41+L41+O41+R41</f>
        <v>4</v>
      </c>
      <c r="X41" s="121"/>
    </row>
    <row r="42" spans="1:24" s="66" customFormat="1" ht="30" customHeight="1" thickBot="1" x14ac:dyDescent="0.35">
      <c r="A42" s="182" t="s">
        <v>10</v>
      </c>
      <c r="B42" s="360" t="s">
        <v>98</v>
      </c>
      <c r="C42" s="361"/>
      <c r="D42" s="361"/>
      <c r="E42" s="361"/>
      <c r="F42" s="362"/>
      <c r="G42" s="203">
        <f>SUM(G36:G41)</f>
        <v>264</v>
      </c>
      <c r="H42" s="184">
        <f t="shared" ref="H42" si="15">SUM(H36:H41)</f>
        <v>127</v>
      </c>
      <c r="I42" s="185">
        <f t="shared" ref="I42:W42" si="16">SUM(I36:I41)</f>
        <v>12</v>
      </c>
      <c r="J42" s="186">
        <v>292</v>
      </c>
      <c r="K42" s="185">
        <v>149</v>
      </c>
      <c r="L42" s="212">
        <f t="shared" si="16"/>
        <v>14</v>
      </c>
      <c r="M42" s="183">
        <f t="shared" si="16"/>
        <v>283</v>
      </c>
      <c r="N42" s="184">
        <f t="shared" si="16"/>
        <v>146</v>
      </c>
      <c r="O42" s="185">
        <f t="shared" si="16"/>
        <v>13</v>
      </c>
      <c r="P42" s="183">
        <f t="shared" si="16"/>
        <v>278</v>
      </c>
      <c r="Q42" s="184">
        <f t="shared" si="16"/>
        <v>136</v>
      </c>
      <c r="R42" s="185">
        <f t="shared" si="16"/>
        <v>13</v>
      </c>
      <c r="S42" s="206">
        <f t="shared" si="1"/>
        <v>1117</v>
      </c>
      <c r="T42" s="207">
        <f t="shared" si="2"/>
        <v>558</v>
      </c>
      <c r="U42" s="183">
        <f t="shared" si="16"/>
        <v>138</v>
      </c>
      <c r="V42" s="185">
        <f t="shared" si="16"/>
        <v>68</v>
      </c>
      <c r="W42" s="189">
        <f t="shared" si="16"/>
        <v>52</v>
      </c>
      <c r="X42" s="121"/>
    </row>
    <row r="43" spans="1:24" s="66" customFormat="1" ht="31.95" customHeight="1" x14ac:dyDescent="0.3">
      <c r="A43" s="166" t="s">
        <v>10</v>
      </c>
      <c r="B43" s="225">
        <v>71</v>
      </c>
      <c r="C43" s="217" t="s">
        <v>71</v>
      </c>
      <c r="D43" s="216" t="s">
        <v>276</v>
      </c>
      <c r="E43" s="217" t="s">
        <v>28</v>
      </c>
      <c r="F43" s="2" t="s">
        <v>105</v>
      </c>
      <c r="G43" s="1">
        <v>27</v>
      </c>
      <c r="H43" s="2">
        <v>15</v>
      </c>
      <c r="I43" s="3">
        <v>1</v>
      </c>
      <c r="J43" s="178">
        <v>38</v>
      </c>
      <c r="K43" s="3">
        <v>17</v>
      </c>
      <c r="L43" s="223">
        <v>2</v>
      </c>
      <c r="M43" s="1">
        <v>31</v>
      </c>
      <c r="N43" s="2">
        <v>21</v>
      </c>
      <c r="O43" s="3">
        <v>1</v>
      </c>
      <c r="P43" s="1">
        <v>26</v>
      </c>
      <c r="Q43" s="2">
        <v>15</v>
      </c>
      <c r="R43" s="3">
        <v>1</v>
      </c>
      <c r="S43" s="224">
        <f t="shared" si="1"/>
        <v>122</v>
      </c>
      <c r="T43" s="180">
        <f t="shared" si="2"/>
        <v>68</v>
      </c>
      <c r="U43" s="1">
        <v>1</v>
      </c>
      <c r="V43" s="3">
        <v>1</v>
      </c>
      <c r="W43" s="226">
        <f>I43+L43+O43+R43</f>
        <v>5</v>
      </c>
      <c r="X43" s="121"/>
    </row>
    <row r="44" spans="1:24" s="69" customFormat="1" ht="30" customHeight="1" x14ac:dyDescent="0.3">
      <c r="A44" s="7" t="s">
        <v>10</v>
      </c>
      <c r="B44" s="214">
        <v>71</v>
      </c>
      <c r="C44" s="215" t="s">
        <v>71</v>
      </c>
      <c r="D44" s="216" t="s">
        <v>278</v>
      </c>
      <c r="E44" s="217" t="s">
        <v>39</v>
      </c>
      <c r="F44" s="2" t="s">
        <v>107</v>
      </c>
      <c r="G44" s="5">
        <f>22+21</f>
        <v>43</v>
      </c>
      <c r="H44" s="6">
        <f>13+10</f>
        <v>23</v>
      </c>
      <c r="I44" s="7">
        <v>2</v>
      </c>
      <c r="J44" s="200">
        <v>45</v>
      </c>
      <c r="K44" s="7">
        <v>22</v>
      </c>
      <c r="L44" s="218">
        <v>2</v>
      </c>
      <c r="M44" s="5">
        <f>24+23</f>
        <v>47</v>
      </c>
      <c r="N44" s="6">
        <f>15+10</f>
        <v>25</v>
      </c>
      <c r="O44" s="7">
        <v>2</v>
      </c>
      <c r="P44" s="5">
        <f>23+22</f>
        <v>45</v>
      </c>
      <c r="Q44" s="6">
        <f>8+11</f>
        <v>19</v>
      </c>
      <c r="R44" s="7">
        <v>2</v>
      </c>
      <c r="S44" s="4">
        <f t="shared" si="1"/>
        <v>180</v>
      </c>
      <c r="T44" s="199">
        <f t="shared" si="2"/>
        <v>89</v>
      </c>
      <c r="U44" s="4">
        <v>0</v>
      </c>
      <c r="V44" s="202">
        <v>0</v>
      </c>
      <c r="W44" s="201">
        <f>I44+L44+O44+R44</f>
        <v>8</v>
      </c>
      <c r="X44" s="62"/>
    </row>
    <row r="45" spans="1:24" s="65" customFormat="1" ht="15.6" x14ac:dyDescent="0.3">
      <c r="A45" s="213" t="s">
        <v>10</v>
      </c>
      <c r="B45" s="214">
        <v>76</v>
      </c>
      <c r="C45" s="215" t="s">
        <v>78</v>
      </c>
      <c r="D45" s="216" t="s">
        <v>279</v>
      </c>
      <c r="E45" s="217" t="s">
        <v>35</v>
      </c>
      <c r="F45" s="2" t="s">
        <v>107</v>
      </c>
      <c r="G45" s="5">
        <v>26</v>
      </c>
      <c r="H45" s="6">
        <v>16</v>
      </c>
      <c r="I45" s="7">
        <v>1</v>
      </c>
      <c r="J45" s="200">
        <v>25</v>
      </c>
      <c r="K45" s="7">
        <v>15</v>
      </c>
      <c r="L45" s="218">
        <v>1</v>
      </c>
      <c r="M45" s="227">
        <v>28</v>
      </c>
      <c r="N45" s="6">
        <v>13</v>
      </c>
      <c r="O45" s="7">
        <v>1</v>
      </c>
      <c r="P45" s="5">
        <v>30</v>
      </c>
      <c r="Q45" s="6">
        <v>14</v>
      </c>
      <c r="R45" s="7">
        <v>1</v>
      </c>
      <c r="S45" s="4">
        <f t="shared" si="1"/>
        <v>109</v>
      </c>
      <c r="T45" s="199">
        <f t="shared" si="2"/>
        <v>58</v>
      </c>
      <c r="U45" s="4">
        <v>3</v>
      </c>
      <c r="V45" s="202">
        <v>2</v>
      </c>
      <c r="W45" s="201">
        <f>I45+L45+O45+R45</f>
        <v>4</v>
      </c>
      <c r="X45" s="120"/>
    </row>
    <row r="46" spans="1:24" s="66" customFormat="1" ht="30.6" x14ac:dyDescent="0.3">
      <c r="A46" s="166" t="s">
        <v>10</v>
      </c>
      <c r="B46" s="225">
        <v>77</v>
      </c>
      <c r="C46" s="217" t="s">
        <v>59</v>
      </c>
      <c r="D46" s="216" t="s">
        <v>280</v>
      </c>
      <c r="E46" s="217" t="s">
        <v>20</v>
      </c>
      <c r="F46" s="2" t="s">
        <v>105</v>
      </c>
      <c r="G46" s="1">
        <f>28+28</f>
        <v>56</v>
      </c>
      <c r="H46" s="2">
        <f>12+13</f>
        <v>25</v>
      </c>
      <c r="I46" s="3">
        <v>2</v>
      </c>
      <c r="J46" s="178">
        <v>60</v>
      </c>
      <c r="K46" s="3">
        <v>26</v>
      </c>
      <c r="L46" s="3">
        <v>2</v>
      </c>
      <c r="M46" s="1">
        <f>19+19</f>
        <v>38</v>
      </c>
      <c r="N46" s="2">
        <f>9+11</f>
        <v>20</v>
      </c>
      <c r="O46" s="3">
        <v>2</v>
      </c>
      <c r="P46" s="1">
        <f>22+21</f>
        <v>43</v>
      </c>
      <c r="Q46" s="2">
        <f>13+11</f>
        <v>24</v>
      </c>
      <c r="R46" s="3">
        <v>2</v>
      </c>
      <c r="S46" s="224">
        <f t="shared" si="1"/>
        <v>197</v>
      </c>
      <c r="T46" s="180">
        <f t="shared" si="2"/>
        <v>95</v>
      </c>
      <c r="U46" s="1">
        <v>19</v>
      </c>
      <c r="V46" s="2">
        <v>7</v>
      </c>
      <c r="W46" s="181">
        <f>I46+L46+O46+R46</f>
        <v>8</v>
      </c>
      <c r="X46" s="121"/>
    </row>
    <row r="47" spans="1:24" s="69" customFormat="1" ht="30.6" x14ac:dyDescent="0.3">
      <c r="A47" s="118" t="s">
        <v>10</v>
      </c>
      <c r="B47" s="228">
        <v>77</v>
      </c>
      <c r="C47" s="215" t="s">
        <v>59</v>
      </c>
      <c r="D47" s="216" t="s">
        <v>281</v>
      </c>
      <c r="E47" s="217" t="s">
        <v>40</v>
      </c>
      <c r="F47" s="2" t="s">
        <v>107</v>
      </c>
      <c r="G47" s="5">
        <v>25</v>
      </c>
      <c r="H47" s="6">
        <v>16</v>
      </c>
      <c r="I47" s="7">
        <v>1</v>
      </c>
      <c r="J47" s="200">
        <v>25</v>
      </c>
      <c r="K47" s="7">
        <v>10</v>
      </c>
      <c r="L47" s="7">
        <v>1</v>
      </c>
      <c r="M47" s="5">
        <f>19+21</f>
        <v>40</v>
      </c>
      <c r="N47" s="6">
        <f>9+8</f>
        <v>17</v>
      </c>
      <c r="O47" s="7">
        <v>2</v>
      </c>
      <c r="P47" s="5">
        <f>20+19</f>
        <v>39</v>
      </c>
      <c r="Q47" s="6">
        <f>7+7</f>
        <v>14</v>
      </c>
      <c r="R47" s="7">
        <v>2</v>
      </c>
      <c r="S47" s="4">
        <f t="shared" si="1"/>
        <v>129</v>
      </c>
      <c r="T47" s="199">
        <f t="shared" si="2"/>
        <v>57</v>
      </c>
      <c r="U47" s="4">
        <v>24</v>
      </c>
      <c r="V47" s="6">
        <v>13</v>
      </c>
      <c r="W47" s="201">
        <f>I47+L47+O47+R47</f>
        <v>6</v>
      </c>
      <c r="X47" s="62"/>
    </row>
    <row r="48" spans="1:24" s="66" customFormat="1" ht="30" customHeight="1" thickBot="1" x14ac:dyDescent="0.35">
      <c r="A48" s="182" t="s">
        <v>10</v>
      </c>
      <c r="B48" s="360" t="s">
        <v>97</v>
      </c>
      <c r="C48" s="361"/>
      <c r="D48" s="361"/>
      <c r="E48" s="361"/>
      <c r="F48" s="362"/>
      <c r="G48" s="203">
        <f>SUM(G43:G47)</f>
        <v>177</v>
      </c>
      <c r="H48" s="184">
        <f t="shared" ref="H48" si="17">SUM(H43:H47)</f>
        <v>95</v>
      </c>
      <c r="I48" s="185">
        <f t="shared" ref="I48:W48" si="18">SUM(I43:I47)</f>
        <v>7</v>
      </c>
      <c r="J48" s="186">
        <v>193</v>
      </c>
      <c r="K48" s="185">
        <v>90</v>
      </c>
      <c r="L48" s="212">
        <f t="shared" si="18"/>
        <v>8</v>
      </c>
      <c r="M48" s="183">
        <f t="shared" si="18"/>
        <v>184</v>
      </c>
      <c r="N48" s="184">
        <f t="shared" si="18"/>
        <v>96</v>
      </c>
      <c r="O48" s="185">
        <f t="shared" si="18"/>
        <v>8</v>
      </c>
      <c r="P48" s="183">
        <f t="shared" si="18"/>
        <v>183</v>
      </c>
      <c r="Q48" s="184">
        <f t="shared" si="18"/>
        <v>86</v>
      </c>
      <c r="R48" s="185">
        <f t="shared" si="18"/>
        <v>8</v>
      </c>
      <c r="S48" s="206">
        <f t="shared" si="1"/>
        <v>737</v>
      </c>
      <c r="T48" s="207">
        <f t="shared" si="2"/>
        <v>367</v>
      </c>
      <c r="U48" s="183">
        <f t="shared" si="18"/>
        <v>47</v>
      </c>
      <c r="V48" s="185">
        <f t="shared" si="18"/>
        <v>23</v>
      </c>
      <c r="W48" s="189">
        <f t="shared" si="18"/>
        <v>31</v>
      </c>
      <c r="X48" s="121"/>
    </row>
    <row r="49" spans="1:24" s="66" customFormat="1" ht="29.25" customHeight="1" x14ac:dyDescent="0.3">
      <c r="A49" s="166" t="s">
        <v>10</v>
      </c>
      <c r="B49" s="225">
        <v>82</v>
      </c>
      <c r="C49" s="217" t="s">
        <v>58</v>
      </c>
      <c r="D49" s="216" t="s">
        <v>282</v>
      </c>
      <c r="E49" s="217" t="s">
        <v>19</v>
      </c>
      <c r="F49" s="2" t="s">
        <v>105</v>
      </c>
      <c r="G49" s="1">
        <f>26+27+27</f>
        <v>80</v>
      </c>
      <c r="H49" s="2">
        <f>14+13+15</f>
        <v>42</v>
      </c>
      <c r="I49" s="3">
        <v>3</v>
      </c>
      <c r="J49" s="178">
        <v>48</v>
      </c>
      <c r="K49" s="3">
        <v>23</v>
      </c>
      <c r="L49" s="3">
        <v>2</v>
      </c>
      <c r="M49" s="1">
        <f>25+21+21</f>
        <v>67</v>
      </c>
      <c r="N49" s="2">
        <f>12+10+9</f>
        <v>31</v>
      </c>
      <c r="O49" s="3">
        <v>3</v>
      </c>
      <c r="P49" s="1">
        <f>25+24+25</f>
        <v>74</v>
      </c>
      <c r="Q49" s="2">
        <f>12+11+16</f>
        <v>39</v>
      </c>
      <c r="R49" s="3">
        <v>3</v>
      </c>
      <c r="S49" s="224">
        <f t="shared" si="1"/>
        <v>269</v>
      </c>
      <c r="T49" s="180">
        <f t="shared" si="2"/>
        <v>135</v>
      </c>
      <c r="U49" s="1">
        <v>8</v>
      </c>
      <c r="V49" s="2">
        <v>3</v>
      </c>
      <c r="W49" s="181">
        <f>I49+L49+O49+R49</f>
        <v>11</v>
      </c>
      <c r="X49" s="121"/>
    </row>
    <row r="50" spans="1:24" s="69" customFormat="1" ht="30" customHeight="1" x14ac:dyDescent="0.3">
      <c r="A50" s="118" t="s">
        <v>10</v>
      </c>
      <c r="B50" s="214">
        <v>82</v>
      </c>
      <c r="C50" s="217" t="s">
        <v>58</v>
      </c>
      <c r="D50" s="216" t="s">
        <v>283</v>
      </c>
      <c r="E50" s="215" t="s">
        <v>34</v>
      </c>
      <c r="F50" s="199" t="s">
        <v>106</v>
      </c>
      <c r="G50" s="4">
        <v>19</v>
      </c>
      <c r="H50" s="199">
        <v>8</v>
      </c>
      <c r="I50" s="7">
        <v>1</v>
      </c>
      <c r="J50" s="200">
        <v>19</v>
      </c>
      <c r="K50" s="7">
        <v>9</v>
      </c>
      <c r="L50" s="7">
        <v>1</v>
      </c>
      <c r="M50" s="4">
        <v>19</v>
      </c>
      <c r="N50" s="199">
        <v>8</v>
      </c>
      <c r="O50" s="7">
        <v>1</v>
      </c>
      <c r="P50" s="4">
        <v>20</v>
      </c>
      <c r="Q50" s="199">
        <v>10</v>
      </c>
      <c r="R50" s="7">
        <v>1</v>
      </c>
      <c r="S50" s="4">
        <f t="shared" si="1"/>
        <v>77</v>
      </c>
      <c r="T50" s="199">
        <f t="shared" si="2"/>
        <v>35</v>
      </c>
      <c r="U50" s="4">
        <v>6</v>
      </c>
      <c r="V50" s="199">
        <v>2</v>
      </c>
      <c r="W50" s="201">
        <f>I50+L50+O50+R50</f>
        <v>4</v>
      </c>
      <c r="X50" s="62"/>
    </row>
    <row r="51" spans="1:24" s="65" customFormat="1" ht="30.75" customHeight="1" x14ac:dyDescent="0.3">
      <c r="A51" s="3" t="s">
        <v>10</v>
      </c>
      <c r="B51" s="229">
        <v>86</v>
      </c>
      <c r="C51" s="217" t="s">
        <v>49</v>
      </c>
      <c r="D51" s="230" t="s">
        <v>284</v>
      </c>
      <c r="E51" s="231" t="s">
        <v>11</v>
      </c>
      <c r="F51" s="232" t="s">
        <v>105</v>
      </c>
      <c r="G51" s="233">
        <f>27</f>
        <v>27</v>
      </c>
      <c r="H51" s="232">
        <v>14</v>
      </c>
      <c r="I51" s="234">
        <v>1</v>
      </c>
      <c r="J51" s="235">
        <v>34</v>
      </c>
      <c r="K51" s="234">
        <v>14</v>
      </c>
      <c r="L51" s="234">
        <v>2</v>
      </c>
      <c r="M51" s="233">
        <f>19+18</f>
        <v>37</v>
      </c>
      <c r="N51" s="232">
        <f>9+13</f>
        <v>22</v>
      </c>
      <c r="O51" s="234">
        <v>2</v>
      </c>
      <c r="P51" s="233">
        <f>18+18</f>
        <v>36</v>
      </c>
      <c r="Q51" s="232">
        <f>7+7</f>
        <v>14</v>
      </c>
      <c r="R51" s="234">
        <v>2</v>
      </c>
      <c r="S51" s="224">
        <f t="shared" si="1"/>
        <v>134</v>
      </c>
      <c r="T51" s="180">
        <f t="shared" si="2"/>
        <v>64</v>
      </c>
      <c r="U51" s="233">
        <v>6</v>
      </c>
      <c r="V51" s="232">
        <v>1</v>
      </c>
      <c r="W51" s="181">
        <f>I51+L51+O51+R51</f>
        <v>7</v>
      </c>
      <c r="X51" s="120"/>
    </row>
    <row r="52" spans="1:24" s="69" customFormat="1" ht="30.75" customHeight="1" x14ac:dyDescent="0.3">
      <c r="A52" s="7" t="s">
        <v>10</v>
      </c>
      <c r="B52" s="214">
        <v>86</v>
      </c>
      <c r="C52" s="215" t="s">
        <v>49</v>
      </c>
      <c r="D52" s="216" t="s">
        <v>285</v>
      </c>
      <c r="E52" s="217" t="s">
        <v>37</v>
      </c>
      <c r="F52" s="2" t="s">
        <v>107</v>
      </c>
      <c r="G52" s="5">
        <f>20+25</f>
        <v>45</v>
      </c>
      <c r="H52" s="6">
        <f>12+16</f>
        <v>28</v>
      </c>
      <c r="I52" s="7">
        <v>2</v>
      </c>
      <c r="J52" s="200">
        <v>57</v>
      </c>
      <c r="K52" s="7">
        <v>24</v>
      </c>
      <c r="L52" s="7">
        <v>2</v>
      </c>
      <c r="M52" s="5">
        <f>21+21+23</f>
        <v>65</v>
      </c>
      <c r="N52" s="6">
        <f>8+8+10</f>
        <v>26</v>
      </c>
      <c r="O52" s="7">
        <v>3</v>
      </c>
      <c r="P52" s="5">
        <f>25+27</f>
        <v>52</v>
      </c>
      <c r="Q52" s="6">
        <f>13+13</f>
        <v>26</v>
      </c>
      <c r="R52" s="7">
        <v>2</v>
      </c>
      <c r="S52" s="4">
        <f t="shared" si="1"/>
        <v>219</v>
      </c>
      <c r="T52" s="199">
        <f t="shared" si="2"/>
        <v>104</v>
      </c>
      <c r="U52" s="4">
        <v>20</v>
      </c>
      <c r="V52" s="6">
        <f>I52+L52+O52+R52</f>
        <v>9</v>
      </c>
      <c r="W52" s="201">
        <f>I52+L52+O52+R52</f>
        <v>9</v>
      </c>
      <c r="X52" s="62"/>
    </row>
    <row r="53" spans="1:24" s="66" customFormat="1" ht="45" customHeight="1" x14ac:dyDescent="0.3">
      <c r="A53" s="236" t="s">
        <v>10</v>
      </c>
      <c r="B53" s="237">
        <v>87</v>
      </c>
      <c r="C53" s="217" t="s">
        <v>68</v>
      </c>
      <c r="D53" s="230" t="s">
        <v>286</v>
      </c>
      <c r="E53" s="231" t="s">
        <v>67</v>
      </c>
      <c r="F53" s="232" t="s">
        <v>105</v>
      </c>
      <c r="G53" s="233">
        <f>19+2+1+1+26+25</f>
        <v>74</v>
      </c>
      <c r="H53" s="232">
        <f>14+1+11+14</f>
        <v>40</v>
      </c>
      <c r="I53" s="234">
        <v>3</v>
      </c>
      <c r="J53" s="235">
        <v>88</v>
      </c>
      <c r="K53" s="234">
        <v>50</v>
      </c>
      <c r="L53" s="234">
        <v>4</v>
      </c>
      <c r="M53" s="233">
        <f>20+1+2+2+24+23</f>
        <v>72</v>
      </c>
      <c r="N53" s="232">
        <f>11+16+16</f>
        <v>43</v>
      </c>
      <c r="O53" s="234">
        <v>3</v>
      </c>
      <c r="P53" s="233">
        <f>19+1+1+20+20+18</f>
        <v>79</v>
      </c>
      <c r="Q53" s="232">
        <f>8+11+11+11</f>
        <v>41</v>
      </c>
      <c r="R53" s="234">
        <v>4</v>
      </c>
      <c r="S53" s="224">
        <f t="shared" si="1"/>
        <v>313</v>
      </c>
      <c r="T53" s="180">
        <f t="shared" si="2"/>
        <v>174</v>
      </c>
      <c r="U53" s="233">
        <v>14</v>
      </c>
      <c r="V53" s="232">
        <v>10</v>
      </c>
      <c r="W53" s="181">
        <f>I53+L53+O53+R53</f>
        <v>14</v>
      </c>
      <c r="X53" s="121"/>
    </row>
    <row r="54" spans="1:24" s="66" customFormat="1" ht="30" customHeight="1" thickBot="1" x14ac:dyDescent="0.35">
      <c r="A54" s="182" t="s">
        <v>10</v>
      </c>
      <c r="B54" s="360" t="s">
        <v>99</v>
      </c>
      <c r="C54" s="361"/>
      <c r="D54" s="361"/>
      <c r="E54" s="361"/>
      <c r="F54" s="362"/>
      <c r="G54" s="203">
        <f>SUM(G49:G53)</f>
        <v>245</v>
      </c>
      <c r="H54" s="184">
        <f t="shared" ref="H54" si="19">SUM(H49:H53)</f>
        <v>132</v>
      </c>
      <c r="I54" s="185">
        <f t="shared" ref="I54:W54" si="20">SUM(I49:I53)</f>
        <v>10</v>
      </c>
      <c r="J54" s="186">
        <v>246</v>
      </c>
      <c r="K54" s="185">
        <v>120</v>
      </c>
      <c r="L54" s="212">
        <f t="shared" si="20"/>
        <v>11</v>
      </c>
      <c r="M54" s="183">
        <f t="shared" si="20"/>
        <v>260</v>
      </c>
      <c r="N54" s="184">
        <f t="shared" si="20"/>
        <v>130</v>
      </c>
      <c r="O54" s="185">
        <f t="shared" si="20"/>
        <v>12</v>
      </c>
      <c r="P54" s="183">
        <f t="shared" si="20"/>
        <v>261</v>
      </c>
      <c r="Q54" s="184">
        <f t="shared" si="20"/>
        <v>130</v>
      </c>
      <c r="R54" s="185">
        <f t="shared" si="20"/>
        <v>12</v>
      </c>
      <c r="S54" s="206">
        <f t="shared" si="1"/>
        <v>1012</v>
      </c>
      <c r="T54" s="207">
        <f t="shared" si="2"/>
        <v>512</v>
      </c>
      <c r="U54" s="183">
        <f t="shared" si="20"/>
        <v>54</v>
      </c>
      <c r="V54" s="185">
        <f t="shared" si="20"/>
        <v>25</v>
      </c>
      <c r="W54" s="189">
        <f t="shared" si="20"/>
        <v>45</v>
      </c>
      <c r="X54" s="121"/>
    </row>
    <row r="55" spans="1:24" s="69" customFormat="1" ht="44.25" customHeight="1" x14ac:dyDescent="0.3">
      <c r="A55" s="190" t="s">
        <v>10</v>
      </c>
      <c r="B55" s="214">
        <v>91</v>
      </c>
      <c r="C55" s="215" t="s">
        <v>81</v>
      </c>
      <c r="D55" s="216" t="s">
        <v>277</v>
      </c>
      <c r="E55" s="217" t="s">
        <v>82</v>
      </c>
      <c r="F55" s="2" t="s">
        <v>107</v>
      </c>
      <c r="G55" s="5">
        <v>35</v>
      </c>
      <c r="H55" s="6">
        <v>23</v>
      </c>
      <c r="I55" s="7">
        <v>2</v>
      </c>
      <c r="J55" s="200">
        <v>54</v>
      </c>
      <c r="K55" s="7">
        <v>30</v>
      </c>
      <c r="L55" s="7">
        <v>2</v>
      </c>
      <c r="M55" s="5">
        <v>59</v>
      </c>
      <c r="N55" s="6">
        <v>25</v>
      </c>
      <c r="O55" s="7">
        <v>3</v>
      </c>
      <c r="P55" s="5">
        <v>41</v>
      </c>
      <c r="Q55" s="6">
        <v>30</v>
      </c>
      <c r="R55" s="7">
        <v>2</v>
      </c>
      <c r="S55" s="4">
        <f t="shared" si="1"/>
        <v>189</v>
      </c>
      <c r="T55" s="199">
        <f t="shared" si="2"/>
        <v>108</v>
      </c>
      <c r="U55" s="4">
        <v>105</v>
      </c>
      <c r="V55" s="6">
        <v>59</v>
      </c>
      <c r="W55" s="201">
        <f>I55+L55+O55+R55</f>
        <v>9</v>
      </c>
      <c r="X55" s="62"/>
    </row>
    <row r="56" spans="1:24" s="66" customFormat="1" ht="29.25" customHeight="1" x14ac:dyDescent="0.3">
      <c r="A56" s="3" t="s">
        <v>10</v>
      </c>
      <c r="B56" s="229">
        <v>95</v>
      </c>
      <c r="C56" s="231" t="s">
        <v>62</v>
      </c>
      <c r="D56" s="230" t="s">
        <v>270</v>
      </c>
      <c r="E56" s="231" t="s">
        <v>22</v>
      </c>
      <c r="F56" s="232" t="s">
        <v>105</v>
      </c>
      <c r="G56" s="233">
        <f>26+27</f>
        <v>53</v>
      </c>
      <c r="H56" s="232">
        <f>13+12</f>
        <v>25</v>
      </c>
      <c r="I56" s="234">
        <v>2</v>
      </c>
      <c r="J56" s="235">
        <v>43</v>
      </c>
      <c r="K56" s="234">
        <v>21</v>
      </c>
      <c r="L56" s="234">
        <v>2</v>
      </c>
      <c r="M56" s="233">
        <f>23+22</f>
        <v>45</v>
      </c>
      <c r="N56" s="232">
        <f>13+12</f>
        <v>25</v>
      </c>
      <c r="O56" s="234">
        <v>2</v>
      </c>
      <c r="P56" s="233">
        <f>24+24</f>
        <v>48</v>
      </c>
      <c r="Q56" s="232">
        <f>13+12</f>
        <v>25</v>
      </c>
      <c r="R56" s="234">
        <v>2</v>
      </c>
      <c r="S56" s="224">
        <f t="shared" si="1"/>
        <v>189</v>
      </c>
      <c r="T56" s="180">
        <f t="shared" si="2"/>
        <v>96</v>
      </c>
      <c r="U56" s="233">
        <v>5</v>
      </c>
      <c r="V56" s="232">
        <v>1</v>
      </c>
      <c r="W56" s="181">
        <f>I56+L56+O56+R56</f>
        <v>8</v>
      </c>
      <c r="X56" s="121"/>
    </row>
    <row r="57" spans="1:24" s="66" customFormat="1" ht="29.25" customHeight="1" x14ac:dyDescent="0.3">
      <c r="A57" s="236" t="s">
        <v>10</v>
      </c>
      <c r="B57" s="225">
        <v>96</v>
      </c>
      <c r="C57" s="217" t="s">
        <v>51</v>
      </c>
      <c r="D57" s="216" t="s">
        <v>287</v>
      </c>
      <c r="E57" s="217" t="s">
        <v>13</v>
      </c>
      <c r="F57" s="2" t="s">
        <v>105</v>
      </c>
      <c r="G57" s="1">
        <f>22+22</f>
        <v>44</v>
      </c>
      <c r="H57" s="2">
        <f>11+10</f>
        <v>21</v>
      </c>
      <c r="I57" s="3">
        <v>2</v>
      </c>
      <c r="J57" s="178">
        <v>59</v>
      </c>
      <c r="K57" s="3">
        <v>27</v>
      </c>
      <c r="L57" s="3">
        <v>2</v>
      </c>
      <c r="M57" s="1">
        <f>29+27</f>
        <v>56</v>
      </c>
      <c r="N57" s="2">
        <f>15+16</f>
        <v>31</v>
      </c>
      <c r="O57" s="3">
        <v>2</v>
      </c>
      <c r="P57" s="1">
        <f>23+22+21</f>
        <v>66</v>
      </c>
      <c r="Q57" s="2">
        <f>11+12+8</f>
        <v>31</v>
      </c>
      <c r="R57" s="3">
        <v>3</v>
      </c>
      <c r="S57" s="224">
        <f t="shared" si="1"/>
        <v>225</v>
      </c>
      <c r="T57" s="180">
        <f t="shared" si="2"/>
        <v>110</v>
      </c>
      <c r="U57" s="1">
        <v>13</v>
      </c>
      <c r="V57" s="2">
        <v>6</v>
      </c>
      <c r="W57" s="181">
        <f>I57+L57+O57+R57</f>
        <v>9</v>
      </c>
      <c r="X57" s="121"/>
    </row>
    <row r="58" spans="1:24" s="69" customFormat="1" ht="30" customHeight="1" x14ac:dyDescent="0.3">
      <c r="A58" s="7" t="s">
        <v>10</v>
      </c>
      <c r="B58" s="214">
        <v>96</v>
      </c>
      <c r="C58" s="215" t="s">
        <v>51</v>
      </c>
      <c r="D58" s="216" t="s">
        <v>288</v>
      </c>
      <c r="E58" s="217" t="s">
        <v>42</v>
      </c>
      <c r="F58" s="232" t="s">
        <v>107</v>
      </c>
      <c r="G58" s="238">
        <f>20+21</f>
        <v>41</v>
      </c>
      <c r="H58" s="239">
        <f>13+10</f>
        <v>23</v>
      </c>
      <c r="I58" s="240">
        <v>2</v>
      </c>
      <c r="J58" s="241">
        <v>43</v>
      </c>
      <c r="K58" s="240">
        <v>22</v>
      </c>
      <c r="L58" s="240">
        <v>2</v>
      </c>
      <c r="M58" s="238">
        <v>28</v>
      </c>
      <c r="N58" s="239">
        <v>16</v>
      </c>
      <c r="O58" s="240">
        <v>1</v>
      </c>
      <c r="P58" s="238">
        <v>27</v>
      </c>
      <c r="Q58" s="239">
        <v>17</v>
      </c>
      <c r="R58" s="240">
        <v>1</v>
      </c>
      <c r="S58" s="4">
        <f t="shared" si="1"/>
        <v>139</v>
      </c>
      <c r="T58" s="199">
        <f t="shared" si="2"/>
        <v>78</v>
      </c>
      <c r="U58" s="242">
        <v>34</v>
      </c>
      <c r="V58" s="239">
        <v>18</v>
      </c>
      <c r="W58" s="201">
        <f>I58+L58+O58+R58</f>
        <v>6</v>
      </c>
      <c r="X58" s="62"/>
    </row>
    <row r="59" spans="1:24" s="66" customFormat="1" ht="30.75" customHeight="1" x14ac:dyDescent="0.3">
      <c r="A59" s="236" t="s">
        <v>10</v>
      </c>
      <c r="B59" s="225">
        <v>97</v>
      </c>
      <c r="C59" s="217" t="s">
        <v>61</v>
      </c>
      <c r="D59" s="216" t="s">
        <v>289</v>
      </c>
      <c r="E59" s="217" t="s">
        <v>103</v>
      </c>
      <c r="F59" s="2" t="s">
        <v>105</v>
      </c>
      <c r="G59" s="1">
        <f>19+2+2+2+26+26+28</f>
        <v>105</v>
      </c>
      <c r="H59" s="2">
        <f>10+1+2+13+14+17</f>
        <v>57</v>
      </c>
      <c r="I59" s="3">
        <v>4</v>
      </c>
      <c r="J59" s="178">
        <v>105</v>
      </c>
      <c r="K59" s="3">
        <v>58</v>
      </c>
      <c r="L59" s="3">
        <v>4</v>
      </c>
      <c r="M59" s="1">
        <f>19+5+1+25+24+26</f>
        <v>100</v>
      </c>
      <c r="N59" s="2">
        <f>7+2+12+10+14</f>
        <v>45</v>
      </c>
      <c r="O59" s="3">
        <v>4</v>
      </c>
      <c r="P59" s="1">
        <f>19+2+1+3+23+24+27</f>
        <v>99</v>
      </c>
      <c r="Q59" s="2">
        <f>13+1+1+12+7+12</f>
        <v>46</v>
      </c>
      <c r="R59" s="3">
        <v>4</v>
      </c>
      <c r="S59" s="224">
        <f t="shared" si="1"/>
        <v>409</v>
      </c>
      <c r="T59" s="180">
        <f t="shared" si="2"/>
        <v>206</v>
      </c>
      <c r="U59" s="1">
        <v>23</v>
      </c>
      <c r="V59" s="2">
        <v>12</v>
      </c>
      <c r="W59" s="181">
        <f>I59+L59+O59+R59</f>
        <v>16</v>
      </c>
      <c r="X59" s="121"/>
    </row>
    <row r="60" spans="1:24" s="66" customFormat="1" ht="30" customHeight="1" x14ac:dyDescent="0.3">
      <c r="A60" s="3" t="s">
        <v>10</v>
      </c>
      <c r="B60" s="225">
        <v>98</v>
      </c>
      <c r="C60" s="217" t="s">
        <v>52</v>
      </c>
      <c r="D60" s="216" t="s">
        <v>290</v>
      </c>
      <c r="E60" s="217" t="s">
        <v>14</v>
      </c>
      <c r="F60" s="2" t="s">
        <v>105</v>
      </c>
      <c r="G60" s="1">
        <f>25+23+24</f>
        <v>72</v>
      </c>
      <c r="H60" s="2">
        <f>11+12+14</f>
        <v>37</v>
      </c>
      <c r="I60" s="3">
        <v>3</v>
      </c>
      <c r="J60" s="178">
        <v>71</v>
      </c>
      <c r="K60" s="3">
        <v>39</v>
      </c>
      <c r="L60" s="3">
        <v>3</v>
      </c>
      <c r="M60" s="1">
        <f>21+20+19</f>
        <v>60</v>
      </c>
      <c r="N60" s="222">
        <f>10+11+8</f>
        <v>29</v>
      </c>
      <c r="O60" s="211">
        <v>3</v>
      </c>
      <c r="P60" s="1">
        <f>21+20+20</f>
        <v>61</v>
      </c>
      <c r="Q60" s="2">
        <f>12+7+10</f>
        <v>29</v>
      </c>
      <c r="R60" s="3">
        <v>3</v>
      </c>
      <c r="S60" s="224">
        <f t="shared" si="1"/>
        <v>264</v>
      </c>
      <c r="T60" s="180">
        <f t="shared" si="2"/>
        <v>134</v>
      </c>
      <c r="U60" s="1">
        <v>10</v>
      </c>
      <c r="V60" s="2">
        <v>6</v>
      </c>
      <c r="W60" s="181">
        <f>I60+L60+O60+R60</f>
        <v>12</v>
      </c>
      <c r="X60" s="121"/>
    </row>
    <row r="61" spans="1:24" s="66" customFormat="1" ht="30" customHeight="1" x14ac:dyDescent="0.3">
      <c r="A61" s="243" t="s">
        <v>10</v>
      </c>
      <c r="B61" s="225">
        <v>98</v>
      </c>
      <c r="C61" s="244" t="s">
        <v>52</v>
      </c>
      <c r="D61" s="245" t="s">
        <v>291</v>
      </c>
      <c r="E61" s="217" t="s">
        <v>16</v>
      </c>
      <c r="F61" s="2" t="s">
        <v>105</v>
      </c>
      <c r="G61" s="1">
        <v>30</v>
      </c>
      <c r="H61" s="2">
        <v>13</v>
      </c>
      <c r="I61" s="3">
        <v>1</v>
      </c>
      <c r="J61" s="178">
        <v>28</v>
      </c>
      <c r="K61" s="3">
        <v>12</v>
      </c>
      <c r="L61" s="3">
        <v>1</v>
      </c>
      <c r="M61" s="1">
        <v>25</v>
      </c>
      <c r="N61" s="2">
        <v>13</v>
      </c>
      <c r="O61" s="3">
        <v>1</v>
      </c>
      <c r="P61" s="1">
        <v>25</v>
      </c>
      <c r="Q61" s="2">
        <v>15</v>
      </c>
      <c r="R61" s="3">
        <v>1</v>
      </c>
      <c r="S61" s="224">
        <f t="shared" si="1"/>
        <v>108</v>
      </c>
      <c r="T61" s="180">
        <f t="shared" si="2"/>
        <v>53</v>
      </c>
      <c r="U61" s="1">
        <v>0</v>
      </c>
      <c r="V61" s="2">
        <v>0</v>
      </c>
      <c r="W61" s="181">
        <f>I61+L61+O61+R61</f>
        <v>4</v>
      </c>
      <c r="X61" s="121"/>
    </row>
    <row r="62" spans="1:24" s="66" customFormat="1" ht="30" customHeight="1" thickBot="1" x14ac:dyDescent="0.35">
      <c r="A62" s="182" t="s">
        <v>10</v>
      </c>
      <c r="B62" s="360" t="s">
        <v>100</v>
      </c>
      <c r="C62" s="361"/>
      <c r="D62" s="361"/>
      <c r="E62" s="361"/>
      <c r="F62" s="362"/>
      <c r="G62" s="203">
        <f>SUM(G55:G61)</f>
        <v>380</v>
      </c>
      <c r="H62" s="184">
        <f t="shared" ref="H62" si="21">SUM(H55:H61)</f>
        <v>199</v>
      </c>
      <c r="I62" s="185">
        <f t="shared" ref="I62:W62" si="22">SUM(I55:I61)</f>
        <v>16</v>
      </c>
      <c r="J62" s="186">
        <v>403</v>
      </c>
      <c r="K62" s="185">
        <v>209</v>
      </c>
      <c r="L62" s="212">
        <f t="shared" si="22"/>
        <v>16</v>
      </c>
      <c r="M62" s="183">
        <f t="shared" si="22"/>
        <v>373</v>
      </c>
      <c r="N62" s="184">
        <f t="shared" si="22"/>
        <v>184</v>
      </c>
      <c r="O62" s="185">
        <f t="shared" si="22"/>
        <v>16</v>
      </c>
      <c r="P62" s="183">
        <f t="shared" si="22"/>
        <v>367</v>
      </c>
      <c r="Q62" s="184">
        <f t="shared" si="22"/>
        <v>193</v>
      </c>
      <c r="R62" s="185">
        <f t="shared" si="22"/>
        <v>16</v>
      </c>
      <c r="S62" s="206">
        <f t="shared" si="1"/>
        <v>1523</v>
      </c>
      <c r="T62" s="207">
        <f t="shared" si="2"/>
        <v>785</v>
      </c>
      <c r="U62" s="183">
        <f t="shared" si="22"/>
        <v>190</v>
      </c>
      <c r="V62" s="185">
        <f t="shared" si="22"/>
        <v>102</v>
      </c>
      <c r="W62" s="189">
        <f t="shared" si="22"/>
        <v>64</v>
      </c>
      <c r="X62" s="121"/>
    </row>
    <row r="63" spans="1:24" s="70" customFormat="1" ht="30.75" customHeight="1" thickBot="1" x14ac:dyDescent="0.35">
      <c r="A63" s="166" t="s">
        <v>10</v>
      </c>
      <c r="B63" s="363" t="s">
        <v>102</v>
      </c>
      <c r="C63" s="364"/>
      <c r="D63" s="364"/>
      <c r="E63" s="364"/>
      <c r="F63" s="365"/>
      <c r="G63" s="203">
        <f>G26+G35+G42+G48+G54+G62</f>
        <v>2253</v>
      </c>
      <c r="H63" s="203">
        <f t="shared" ref="H63" si="23">H26+H35+H42+H48+H54+H62</f>
        <v>1154</v>
      </c>
      <c r="I63" s="246">
        <f t="shared" ref="I63:W63" si="24">I26+I35+I42+I48+I54+I62</f>
        <v>94.75</v>
      </c>
      <c r="J63" s="203">
        <v>2379</v>
      </c>
      <c r="K63" s="203">
        <v>1182</v>
      </c>
      <c r="L63" s="247">
        <f t="shared" si="24"/>
        <v>100.75</v>
      </c>
      <c r="M63" s="203">
        <f t="shared" si="24"/>
        <v>2309</v>
      </c>
      <c r="N63" s="203">
        <f t="shared" si="24"/>
        <v>1170</v>
      </c>
      <c r="O63" s="247">
        <f t="shared" si="24"/>
        <v>100.25</v>
      </c>
      <c r="P63" s="203">
        <f t="shared" si="24"/>
        <v>2306</v>
      </c>
      <c r="Q63" s="203">
        <f t="shared" si="24"/>
        <v>1131</v>
      </c>
      <c r="R63" s="247">
        <f t="shared" si="24"/>
        <v>102.25</v>
      </c>
      <c r="S63" s="206">
        <f t="shared" si="1"/>
        <v>9247</v>
      </c>
      <c r="T63" s="203">
        <f t="shared" si="2"/>
        <v>4637</v>
      </c>
      <c r="U63" s="203">
        <f t="shared" si="24"/>
        <v>769</v>
      </c>
      <c r="V63" s="206">
        <f t="shared" si="24"/>
        <v>382</v>
      </c>
      <c r="W63" s="248">
        <f t="shared" si="24"/>
        <v>398</v>
      </c>
      <c r="X63" s="122"/>
    </row>
    <row r="64" spans="1:24" s="65" customFormat="1" ht="45" customHeight="1" x14ac:dyDescent="0.3">
      <c r="A64" s="249" t="s">
        <v>108</v>
      </c>
      <c r="B64" s="250">
        <v>11</v>
      </c>
      <c r="C64" s="251" t="s">
        <v>48</v>
      </c>
      <c r="D64" s="252" t="s">
        <v>246</v>
      </c>
      <c r="E64" s="251" t="s">
        <v>112</v>
      </c>
      <c r="F64" s="249" t="s">
        <v>105</v>
      </c>
      <c r="G64" s="253">
        <v>33</v>
      </c>
      <c r="H64" s="254">
        <v>15</v>
      </c>
      <c r="I64" s="249">
        <v>1.25</v>
      </c>
      <c r="J64" s="255">
        <v>35</v>
      </c>
      <c r="K64" s="249">
        <v>16</v>
      </c>
      <c r="L64" s="249">
        <v>1.25</v>
      </c>
      <c r="M64" s="253">
        <v>33</v>
      </c>
      <c r="N64" s="254">
        <v>20</v>
      </c>
      <c r="O64" s="249">
        <v>1.25</v>
      </c>
      <c r="P64" s="253">
        <v>30</v>
      </c>
      <c r="Q64" s="254">
        <v>20</v>
      </c>
      <c r="R64" s="249">
        <v>1.25</v>
      </c>
      <c r="S64" s="256">
        <f t="shared" si="1"/>
        <v>131</v>
      </c>
      <c r="T64" s="257">
        <f t="shared" si="2"/>
        <v>71</v>
      </c>
      <c r="U64" s="253">
        <v>1</v>
      </c>
      <c r="V64" s="249">
        <v>1</v>
      </c>
      <c r="W64" s="226">
        <f>I64+L64+O64+R64</f>
        <v>5</v>
      </c>
      <c r="X64" s="120"/>
    </row>
    <row r="65" spans="1:24" s="66" customFormat="1" ht="31.95" customHeight="1" x14ac:dyDescent="0.3">
      <c r="A65" s="3" t="s">
        <v>108</v>
      </c>
      <c r="B65" s="175">
        <v>15</v>
      </c>
      <c r="C65" s="176" t="s">
        <v>64</v>
      </c>
      <c r="D65" s="177" t="s">
        <v>247</v>
      </c>
      <c r="E65" s="176" t="s">
        <v>24</v>
      </c>
      <c r="F65" s="3" t="s">
        <v>105</v>
      </c>
      <c r="G65" s="1">
        <v>40</v>
      </c>
      <c r="H65" s="2">
        <v>21</v>
      </c>
      <c r="I65" s="3">
        <v>2</v>
      </c>
      <c r="J65" s="178">
        <v>45</v>
      </c>
      <c r="K65" s="3">
        <v>24</v>
      </c>
      <c r="L65" s="3">
        <v>2</v>
      </c>
      <c r="M65" s="1">
        <v>46</v>
      </c>
      <c r="N65" s="2">
        <v>21</v>
      </c>
      <c r="O65" s="3">
        <v>2</v>
      </c>
      <c r="P65" s="1">
        <v>40</v>
      </c>
      <c r="Q65" s="2">
        <v>16</v>
      </c>
      <c r="R65" s="3">
        <v>2</v>
      </c>
      <c r="S65" s="179">
        <f t="shared" si="1"/>
        <v>171</v>
      </c>
      <c r="T65" s="180">
        <f t="shared" si="2"/>
        <v>82</v>
      </c>
      <c r="U65" s="1">
        <v>6</v>
      </c>
      <c r="V65" s="3">
        <v>1</v>
      </c>
      <c r="W65" s="181">
        <f>I65+L65+O65+R65</f>
        <v>8</v>
      </c>
      <c r="X65" s="121"/>
    </row>
    <row r="66" spans="1:24" s="66" customFormat="1" ht="31.95" customHeight="1" thickBot="1" x14ac:dyDescent="0.35">
      <c r="A66" s="182" t="s">
        <v>108</v>
      </c>
      <c r="B66" s="360" t="s">
        <v>92</v>
      </c>
      <c r="C66" s="361"/>
      <c r="D66" s="361"/>
      <c r="E66" s="361"/>
      <c r="F66" s="362"/>
      <c r="G66" s="183">
        <f t="shared" ref="G66:H66" si="25">SUM(G64:G65)</f>
        <v>73</v>
      </c>
      <c r="H66" s="184">
        <f t="shared" si="25"/>
        <v>36</v>
      </c>
      <c r="I66" s="185">
        <f t="shared" ref="I66:W66" si="26">SUM(I64:I65)</f>
        <v>3.25</v>
      </c>
      <c r="J66" s="186">
        <v>80</v>
      </c>
      <c r="K66" s="185">
        <v>40</v>
      </c>
      <c r="L66" s="185">
        <f t="shared" si="26"/>
        <v>3.25</v>
      </c>
      <c r="M66" s="183">
        <f t="shared" si="26"/>
        <v>79</v>
      </c>
      <c r="N66" s="184">
        <f t="shared" si="26"/>
        <v>41</v>
      </c>
      <c r="O66" s="185">
        <f t="shared" si="26"/>
        <v>3.25</v>
      </c>
      <c r="P66" s="183">
        <f t="shared" si="26"/>
        <v>70</v>
      </c>
      <c r="Q66" s="184">
        <f t="shared" si="26"/>
        <v>36</v>
      </c>
      <c r="R66" s="185">
        <f t="shared" si="26"/>
        <v>3.25</v>
      </c>
      <c r="S66" s="187">
        <f t="shared" si="1"/>
        <v>302</v>
      </c>
      <c r="T66" s="188">
        <f t="shared" si="2"/>
        <v>153</v>
      </c>
      <c r="U66" s="183">
        <f t="shared" si="26"/>
        <v>7</v>
      </c>
      <c r="V66" s="185">
        <f t="shared" si="26"/>
        <v>2</v>
      </c>
      <c r="W66" s="189">
        <f t="shared" si="26"/>
        <v>13</v>
      </c>
      <c r="X66" s="121"/>
    </row>
    <row r="67" spans="1:24" s="67" customFormat="1" ht="30" customHeight="1" x14ac:dyDescent="0.3">
      <c r="A67" s="190" t="s">
        <v>108</v>
      </c>
      <c r="B67" s="191">
        <v>22</v>
      </c>
      <c r="C67" s="192" t="s">
        <v>75</v>
      </c>
      <c r="D67" s="169" t="s">
        <v>248</v>
      </c>
      <c r="E67" s="192" t="s">
        <v>32</v>
      </c>
      <c r="F67" s="190" t="s">
        <v>106</v>
      </c>
      <c r="G67" s="193">
        <v>38</v>
      </c>
      <c r="H67" s="194">
        <v>17</v>
      </c>
      <c r="I67" s="190">
        <v>2</v>
      </c>
      <c r="J67" s="195">
        <v>27</v>
      </c>
      <c r="K67" s="190">
        <v>9</v>
      </c>
      <c r="L67" s="190">
        <v>1</v>
      </c>
      <c r="M67" s="193">
        <v>21</v>
      </c>
      <c r="N67" s="194">
        <v>7</v>
      </c>
      <c r="O67" s="190">
        <v>1</v>
      </c>
      <c r="P67" s="193">
        <v>35</v>
      </c>
      <c r="Q67" s="194">
        <v>16</v>
      </c>
      <c r="R67" s="190">
        <v>2</v>
      </c>
      <c r="S67" s="195">
        <f t="shared" si="1"/>
        <v>121</v>
      </c>
      <c r="T67" s="194">
        <f t="shared" si="2"/>
        <v>49</v>
      </c>
      <c r="U67" s="193">
        <v>17</v>
      </c>
      <c r="V67" s="190">
        <v>7</v>
      </c>
      <c r="W67" s="196">
        <f>I67+L67+O67+R67</f>
        <v>6</v>
      </c>
      <c r="X67" s="110"/>
    </row>
    <row r="68" spans="1:24" s="66" customFormat="1" ht="31.95" customHeight="1" x14ac:dyDescent="0.3">
      <c r="A68" s="3" t="s">
        <v>108</v>
      </c>
      <c r="B68" s="175">
        <v>24</v>
      </c>
      <c r="C68" s="176" t="s">
        <v>70</v>
      </c>
      <c r="D68" s="177" t="s">
        <v>249</v>
      </c>
      <c r="E68" s="176" t="s">
        <v>27</v>
      </c>
      <c r="F68" s="3" t="s">
        <v>105</v>
      </c>
      <c r="G68" s="1">
        <v>27</v>
      </c>
      <c r="H68" s="2">
        <v>16</v>
      </c>
      <c r="I68" s="3">
        <v>1</v>
      </c>
      <c r="J68" s="178">
        <v>30</v>
      </c>
      <c r="K68" s="3">
        <v>10</v>
      </c>
      <c r="L68" s="3">
        <v>1</v>
      </c>
      <c r="M68" s="1">
        <v>30</v>
      </c>
      <c r="N68" s="2">
        <v>17</v>
      </c>
      <c r="O68" s="3">
        <v>1</v>
      </c>
      <c r="P68" s="1">
        <v>28</v>
      </c>
      <c r="Q68" s="2">
        <v>16</v>
      </c>
      <c r="R68" s="3">
        <v>1</v>
      </c>
      <c r="S68" s="179">
        <f t="shared" si="1"/>
        <v>115</v>
      </c>
      <c r="T68" s="180">
        <f t="shared" si="2"/>
        <v>59</v>
      </c>
      <c r="U68" s="1">
        <v>11</v>
      </c>
      <c r="V68" s="3">
        <v>4</v>
      </c>
      <c r="W68" s="181">
        <f>I68+L68+O68+R68</f>
        <v>4</v>
      </c>
      <c r="X68" s="121"/>
    </row>
    <row r="69" spans="1:24" s="67" customFormat="1" ht="30.6" customHeight="1" x14ac:dyDescent="0.3">
      <c r="A69" s="7" t="s">
        <v>108</v>
      </c>
      <c r="B69" s="197">
        <v>25</v>
      </c>
      <c r="C69" s="198" t="s">
        <v>74</v>
      </c>
      <c r="D69" s="177" t="s">
        <v>250</v>
      </c>
      <c r="E69" s="198" t="s">
        <v>31</v>
      </c>
      <c r="F69" s="7" t="s">
        <v>106</v>
      </c>
      <c r="G69" s="4">
        <v>40</v>
      </c>
      <c r="H69" s="199">
        <v>19</v>
      </c>
      <c r="I69" s="7">
        <v>2</v>
      </c>
      <c r="J69" s="200">
        <v>49</v>
      </c>
      <c r="K69" s="7">
        <v>33</v>
      </c>
      <c r="L69" s="7">
        <v>2</v>
      </c>
      <c r="M69" s="4">
        <v>52</v>
      </c>
      <c r="N69" s="199">
        <v>23</v>
      </c>
      <c r="O69" s="7">
        <v>2</v>
      </c>
      <c r="P69" s="4">
        <v>50</v>
      </c>
      <c r="Q69" s="199">
        <v>22</v>
      </c>
      <c r="R69" s="7">
        <v>2</v>
      </c>
      <c r="S69" s="200">
        <f t="shared" si="1"/>
        <v>191</v>
      </c>
      <c r="T69" s="199">
        <f t="shared" si="2"/>
        <v>97</v>
      </c>
      <c r="U69" s="4">
        <v>2</v>
      </c>
      <c r="V69" s="7">
        <v>0</v>
      </c>
      <c r="W69" s="201">
        <f>I69+L69+O69+R69</f>
        <v>8</v>
      </c>
      <c r="X69" s="110"/>
    </row>
    <row r="70" spans="1:24" s="66" customFormat="1" ht="31.95" customHeight="1" x14ac:dyDescent="0.3">
      <c r="A70" s="3" t="s">
        <v>108</v>
      </c>
      <c r="B70" s="175">
        <v>27</v>
      </c>
      <c r="C70" s="176" t="s">
        <v>60</v>
      </c>
      <c r="D70" s="177" t="s">
        <v>251</v>
      </c>
      <c r="E70" s="176" t="s">
        <v>21</v>
      </c>
      <c r="F70" s="3" t="s">
        <v>105</v>
      </c>
      <c r="G70" s="1">
        <v>54</v>
      </c>
      <c r="H70" s="2">
        <v>24</v>
      </c>
      <c r="I70" s="3">
        <v>2</v>
      </c>
      <c r="J70" s="178">
        <v>55</v>
      </c>
      <c r="K70" s="3">
        <v>28</v>
      </c>
      <c r="L70" s="3">
        <v>2</v>
      </c>
      <c r="M70" s="1">
        <v>54</v>
      </c>
      <c r="N70" s="2">
        <v>29</v>
      </c>
      <c r="O70" s="3">
        <v>2</v>
      </c>
      <c r="P70" s="1">
        <v>46</v>
      </c>
      <c r="Q70" s="2">
        <v>32</v>
      </c>
      <c r="R70" s="3">
        <v>2</v>
      </c>
      <c r="S70" s="179">
        <f t="shared" si="1"/>
        <v>209</v>
      </c>
      <c r="T70" s="180">
        <f t="shared" si="2"/>
        <v>113</v>
      </c>
      <c r="U70" s="1">
        <v>5</v>
      </c>
      <c r="V70" s="3">
        <v>4</v>
      </c>
      <c r="W70" s="181">
        <f>I70+L70+O70+R70</f>
        <v>8</v>
      </c>
      <c r="X70" s="121"/>
    </row>
    <row r="71" spans="1:24" ht="30" customHeight="1" x14ac:dyDescent="0.3">
      <c r="A71" s="7" t="s">
        <v>108</v>
      </c>
      <c r="B71" s="197">
        <v>27</v>
      </c>
      <c r="C71" s="198" t="s">
        <v>60</v>
      </c>
      <c r="D71" s="177" t="s">
        <v>252</v>
      </c>
      <c r="E71" s="198" t="s">
        <v>33</v>
      </c>
      <c r="F71" s="7" t="s">
        <v>106</v>
      </c>
      <c r="G71" s="4">
        <v>46</v>
      </c>
      <c r="H71" s="199">
        <v>27</v>
      </c>
      <c r="I71" s="7">
        <v>2</v>
      </c>
      <c r="J71" s="200">
        <v>32</v>
      </c>
      <c r="K71" s="7">
        <v>17</v>
      </c>
      <c r="L71" s="7">
        <v>2</v>
      </c>
      <c r="M71" s="4">
        <v>48</v>
      </c>
      <c r="N71" s="199">
        <v>27</v>
      </c>
      <c r="O71" s="7">
        <v>2</v>
      </c>
      <c r="P71" s="4">
        <v>46</v>
      </c>
      <c r="Q71" s="199">
        <v>24</v>
      </c>
      <c r="R71" s="7">
        <v>2</v>
      </c>
      <c r="S71" s="200">
        <f t="shared" si="1"/>
        <v>172</v>
      </c>
      <c r="T71" s="199">
        <f t="shared" si="2"/>
        <v>95</v>
      </c>
      <c r="U71" s="4">
        <v>6</v>
      </c>
      <c r="V71" s="7">
        <v>6</v>
      </c>
      <c r="W71" s="201">
        <f>I71+L71+O71+R71</f>
        <v>8</v>
      </c>
    </row>
    <row r="72" spans="1:24" s="66" customFormat="1" ht="31.95" customHeight="1" thickBot="1" x14ac:dyDescent="0.35">
      <c r="A72" s="182" t="s">
        <v>108</v>
      </c>
      <c r="B72" s="360" t="s">
        <v>101</v>
      </c>
      <c r="C72" s="361"/>
      <c r="D72" s="361"/>
      <c r="E72" s="361"/>
      <c r="F72" s="362"/>
      <c r="G72" s="183">
        <f t="shared" ref="G72:H72" si="27">SUM(G67:G71)</f>
        <v>205</v>
      </c>
      <c r="H72" s="184">
        <f t="shared" si="27"/>
        <v>103</v>
      </c>
      <c r="I72" s="185">
        <f t="shared" ref="I72:W72" si="28">SUM(I67:I71)</f>
        <v>9</v>
      </c>
      <c r="J72" s="186">
        <v>193</v>
      </c>
      <c r="K72" s="185">
        <v>97</v>
      </c>
      <c r="L72" s="185">
        <f t="shared" si="28"/>
        <v>8</v>
      </c>
      <c r="M72" s="183">
        <f t="shared" si="28"/>
        <v>205</v>
      </c>
      <c r="N72" s="184">
        <f t="shared" si="28"/>
        <v>103</v>
      </c>
      <c r="O72" s="185">
        <f t="shared" si="28"/>
        <v>8</v>
      </c>
      <c r="P72" s="183">
        <f t="shared" si="28"/>
        <v>205</v>
      </c>
      <c r="Q72" s="184">
        <f t="shared" si="28"/>
        <v>110</v>
      </c>
      <c r="R72" s="185">
        <f t="shared" si="28"/>
        <v>9</v>
      </c>
      <c r="S72" s="187">
        <f t="shared" ref="S72:S135" si="29">G72+J72+M72+P72</f>
        <v>808</v>
      </c>
      <c r="T72" s="188">
        <f t="shared" ref="T72:T135" si="30">H72+K72+N72+Q72</f>
        <v>413</v>
      </c>
      <c r="U72" s="183">
        <f t="shared" si="28"/>
        <v>41</v>
      </c>
      <c r="V72" s="185">
        <f t="shared" si="28"/>
        <v>21</v>
      </c>
      <c r="W72" s="189">
        <f t="shared" si="28"/>
        <v>34</v>
      </c>
      <c r="X72" s="121"/>
    </row>
    <row r="73" spans="1:24" s="69" customFormat="1" ht="30.75" customHeight="1" x14ac:dyDescent="0.3">
      <c r="A73" s="7" t="s">
        <v>108</v>
      </c>
      <c r="B73" s="197">
        <v>31</v>
      </c>
      <c r="C73" s="198" t="s">
        <v>79</v>
      </c>
      <c r="D73" s="177" t="s">
        <v>253</v>
      </c>
      <c r="E73" s="176" t="s">
        <v>123</v>
      </c>
      <c r="F73" s="3" t="s">
        <v>107</v>
      </c>
      <c r="G73" s="5">
        <v>36</v>
      </c>
      <c r="H73" s="6">
        <v>17</v>
      </c>
      <c r="I73" s="7">
        <v>2</v>
      </c>
      <c r="J73" s="200">
        <v>38</v>
      </c>
      <c r="K73" s="7">
        <v>17</v>
      </c>
      <c r="L73" s="7">
        <v>2</v>
      </c>
      <c r="M73" s="5">
        <v>35</v>
      </c>
      <c r="N73" s="6">
        <v>13</v>
      </c>
      <c r="O73" s="7">
        <v>2</v>
      </c>
      <c r="P73" s="5">
        <v>34</v>
      </c>
      <c r="Q73" s="6">
        <v>19</v>
      </c>
      <c r="R73" s="7">
        <v>2</v>
      </c>
      <c r="S73" s="200">
        <f t="shared" si="29"/>
        <v>143</v>
      </c>
      <c r="T73" s="199">
        <f t="shared" si="30"/>
        <v>66</v>
      </c>
      <c r="U73" s="4">
        <v>8</v>
      </c>
      <c r="V73" s="202">
        <v>2</v>
      </c>
      <c r="W73" s="201">
        <f>I73+L73+O73+R73</f>
        <v>8</v>
      </c>
      <c r="X73" s="62"/>
    </row>
    <row r="74" spans="1:24" s="69" customFormat="1" ht="45" customHeight="1" x14ac:dyDescent="0.3">
      <c r="A74" s="7" t="s">
        <v>108</v>
      </c>
      <c r="B74" s="197">
        <v>32</v>
      </c>
      <c r="C74" s="198" t="s">
        <v>85</v>
      </c>
      <c r="D74" s="177" t="s">
        <v>255</v>
      </c>
      <c r="E74" s="176" t="s">
        <v>121</v>
      </c>
      <c r="F74" s="3" t="s">
        <v>107</v>
      </c>
      <c r="G74" s="5">
        <v>65</v>
      </c>
      <c r="H74" s="6">
        <v>33</v>
      </c>
      <c r="I74" s="7">
        <v>3</v>
      </c>
      <c r="J74" s="200">
        <v>78</v>
      </c>
      <c r="K74" s="7">
        <v>35</v>
      </c>
      <c r="L74" s="7">
        <v>3</v>
      </c>
      <c r="M74" s="5">
        <v>52</v>
      </c>
      <c r="N74" s="6">
        <v>23</v>
      </c>
      <c r="O74" s="7">
        <v>2</v>
      </c>
      <c r="P74" s="5">
        <v>75</v>
      </c>
      <c r="Q74" s="6">
        <v>41</v>
      </c>
      <c r="R74" s="7">
        <v>3</v>
      </c>
      <c r="S74" s="200">
        <f t="shared" si="29"/>
        <v>270</v>
      </c>
      <c r="T74" s="199">
        <f t="shared" si="30"/>
        <v>132</v>
      </c>
      <c r="U74" s="4">
        <v>22</v>
      </c>
      <c r="V74" s="202">
        <v>7</v>
      </c>
      <c r="W74" s="201">
        <f>I74+L74+O74+R74</f>
        <v>11</v>
      </c>
      <c r="X74" s="62"/>
    </row>
    <row r="75" spans="1:24" s="66" customFormat="1" ht="31.95" customHeight="1" x14ac:dyDescent="0.3">
      <c r="A75" s="3" t="s">
        <v>108</v>
      </c>
      <c r="B75" s="175">
        <v>33</v>
      </c>
      <c r="C75" s="176" t="s">
        <v>57</v>
      </c>
      <c r="D75" s="177" t="s">
        <v>256</v>
      </c>
      <c r="E75" s="176" t="s">
        <v>18</v>
      </c>
      <c r="F75" s="3" t="s">
        <v>105</v>
      </c>
      <c r="G75" s="1">
        <v>37</v>
      </c>
      <c r="H75" s="2">
        <v>17</v>
      </c>
      <c r="I75" s="3">
        <v>2</v>
      </c>
      <c r="J75" s="178">
        <v>27</v>
      </c>
      <c r="K75" s="3">
        <v>15</v>
      </c>
      <c r="L75" s="3">
        <v>1</v>
      </c>
      <c r="M75" s="1">
        <v>38</v>
      </c>
      <c r="N75" s="2">
        <v>18</v>
      </c>
      <c r="O75" s="3">
        <v>2</v>
      </c>
      <c r="P75" s="1">
        <v>28</v>
      </c>
      <c r="Q75" s="2">
        <v>12</v>
      </c>
      <c r="R75" s="3">
        <v>1</v>
      </c>
      <c r="S75" s="179">
        <f t="shared" si="29"/>
        <v>130</v>
      </c>
      <c r="T75" s="180">
        <f t="shared" si="30"/>
        <v>62</v>
      </c>
      <c r="U75" s="1">
        <v>14</v>
      </c>
      <c r="V75" s="3">
        <v>5</v>
      </c>
      <c r="W75" s="181">
        <f>I75+L75+O75+R75</f>
        <v>6</v>
      </c>
      <c r="X75" s="121"/>
    </row>
    <row r="76" spans="1:24" s="66" customFormat="1" ht="31.95" customHeight="1" x14ac:dyDescent="0.3">
      <c r="A76" s="3" t="s">
        <v>108</v>
      </c>
      <c r="B76" s="175">
        <v>34</v>
      </c>
      <c r="C76" s="176" t="s">
        <v>54</v>
      </c>
      <c r="D76" s="177" t="s">
        <v>254</v>
      </c>
      <c r="E76" s="176" t="s">
        <v>15</v>
      </c>
      <c r="F76" s="3" t="s">
        <v>105</v>
      </c>
      <c r="G76" s="1">
        <v>41</v>
      </c>
      <c r="H76" s="2">
        <v>16</v>
      </c>
      <c r="I76" s="3">
        <v>2</v>
      </c>
      <c r="J76" s="178">
        <v>65</v>
      </c>
      <c r="K76" s="3">
        <v>34</v>
      </c>
      <c r="L76" s="3">
        <v>3</v>
      </c>
      <c r="M76" s="1">
        <v>72</v>
      </c>
      <c r="N76" s="2">
        <v>36</v>
      </c>
      <c r="O76" s="3">
        <v>3</v>
      </c>
      <c r="P76" s="1">
        <v>54</v>
      </c>
      <c r="Q76" s="2">
        <v>30</v>
      </c>
      <c r="R76" s="3">
        <v>2</v>
      </c>
      <c r="S76" s="179">
        <f t="shared" si="29"/>
        <v>232</v>
      </c>
      <c r="T76" s="180">
        <f t="shared" si="30"/>
        <v>116</v>
      </c>
      <c r="U76" s="1">
        <v>11</v>
      </c>
      <c r="V76" s="3">
        <v>5</v>
      </c>
      <c r="W76" s="181">
        <f>I76+L76+O76+R76</f>
        <v>10</v>
      </c>
      <c r="X76" s="121"/>
    </row>
    <row r="77" spans="1:24" s="66" customFormat="1" ht="31.95" customHeight="1" thickBot="1" x14ac:dyDescent="0.35">
      <c r="A77" s="182" t="s">
        <v>108</v>
      </c>
      <c r="B77" s="360" t="s">
        <v>93</v>
      </c>
      <c r="C77" s="361"/>
      <c r="D77" s="361"/>
      <c r="E77" s="361"/>
      <c r="F77" s="362"/>
      <c r="G77" s="203">
        <f t="shared" ref="G77:H77" si="31">SUM(G73:G76)</f>
        <v>179</v>
      </c>
      <c r="H77" s="184">
        <f t="shared" si="31"/>
        <v>83</v>
      </c>
      <c r="I77" s="185">
        <f t="shared" ref="I77:W77" si="32">SUM(I73:I76)</f>
        <v>9</v>
      </c>
      <c r="J77" s="186">
        <v>208</v>
      </c>
      <c r="K77" s="185">
        <v>101</v>
      </c>
      <c r="L77" s="185">
        <f t="shared" si="32"/>
        <v>9</v>
      </c>
      <c r="M77" s="183">
        <f t="shared" si="32"/>
        <v>197</v>
      </c>
      <c r="N77" s="184">
        <f t="shared" si="32"/>
        <v>90</v>
      </c>
      <c r="O77" s="185">
        <f t="shared" si="32"/>
        <v>9</v>
      </c>
      <c r="P77" s="183">
        <f t="shared" si="32"/>
        <v>191</v>
      </c>
      <c r="Q77" s="184">
        <f t="shared" si="32"/>
        <v>102</v>
      </c>
      <c r="R77" s="185">
        <f t="shared" si="32"/>
        <v>8</v>
      </c>
      <c r="S77" s="187">
        <f t="shared" si="29"/>
        <v>775</v>
      </c>
      <c r="T77" s="188">
        <f t="shared" si="30"/>
        <v>376</v>
      </c>
      <c r="U77" s="183">
        <f t="shared" si="32"/>
        <v>55</v>
      </c>
      <c r="V77" s="185">
        <f t="shared" si="32"/>
        <v>19</v>
      </c>
      <c r="W77" s="189">
        <f t="shared" si="32"/>
        <v>35</v>
      </c>
      <c r="X77" s="121"/>
    </row>
    <row r="78" spans="1:24" s="66" customFormat="1" ht="30" customHeight="1" x14ac:dyDescent="0.3">
      <c r="A78" s="3" t="s">
        <v>108</v>
      </c>
      <c r="B78" s="175">
        <v>45</v>
      </c>
      <c r="C78" s="176" t="s">
        <v>65</v>
      </c>
      <c r="D78" s="177" t="s">
        <v>257</v>
      </c>
      <c r="E78" s="176" t="s">
        <v>25</v>
      </c>
      <c r="F78" s="3" t="s">
        <v>105</v>
      </c>
      <c r="G78" s="1">
        <v>37</v>
      </c>
      <c r="H78" s="2">
        <v>25</v>
      </c>
      <c r="I78" s="3">
        <v>2</v>
      </c>
      <c r="J78" s="178">
        <v>41</v>
      </c>
      <c r="K78" s="3">
        <v>22</v>
      </c>
      <c r="L78" s="3">
        <v>2</v>
      </c>
      <c r="M78" s="1">
        <v>37</v>
      </c>
      <c r="N78" s="2">
        <v>18</v>
      </c>
      <c r="O78" s="3">
        <v>2</v>
      </c>
      <c r="P78" s="1">
        <v>41</v>
      </c>
      <c r="Q78" s="2">
        <v>16</v>
      </c>
      <c r="R78" s="3">
        <v>2</v>
      </c>
      <c r="S78" s="179">
        <f t="shared" si="29"/>
        <v>156</v>
      </c>
      <c r="T78" s="180">
        <f t="shared" si="30"/>
        <v>81</v>
      </c>
      <c r="U78" s="1">
        <v>5</v>
      </c>
      <c r="V78" s="3">
        <v>2</v>
      </c>
      <c r="W78" s="181">
        <f>I78+L78+O78+R78</f>
        <v>8</v>
      </c>
      <c r="X78" s="121"/>
    </row>
    <row r="79" spans="1:24" s="69" customFormat="1" ht="30" customHeight="1" x14ac:dyDescent="0.3">
      <c r="A79" s="7" t="s">
        <v>108</v>
      </c>
      <c r="B79" s="197">
        <v>45</v>
      </c>
      <c r="C79" s="198" t="s">
        <v>65</v>
      </c>
      <c r="D79" s="177" t="s">
        <v>258</v>
      </c>
      <c r="E79" s="176" t="s">
        <v>113</v>
      </c>
      <c r="F79" s="3" t="s">
        <v>107</v>
      </c>
      <c r="G79" s="5">
        <v>43</v>
      </c>
      <c r="H79" s="6">
        <v>15</v>
      </c>
      <c r="I79" s="7">
        <v>2</v>
      </c>
      <c r="J79" s="200">
        <v>36</v>
      </c>
      <c r="K79" s="7">
        <v>19</v>
      </c>
      <c r="L79" s="7">
        <v>2</v>
      </c>
      <c r="M79" s="5">
        <v>42</v>
      </c>
      <c r="N79" s="199">
        <v>19</v>
      </c>
      <c r="O79" s="7">
        <v>2</v>
      </c>
      <c r="P79" s="5">
        <v>27</v>
      </c>
      <c r="Q79" s="6">
        <v>10</v>
      </c>
      <c r="R79" s="7">
        <v>1</v>
      </c>
      <c r="S79" s="200">
        <f t="shared" si="29"/>
        <v>148</v>
      </c>
      <c r="T79" s="199">
        <f t="shared" si="30"/>
        <v>63</v>
      </c>
      <c r="U79" s="4">
        <v>1</v>
      </c>
      <c r="V79" s="202">
        <v>1</v>
      </c>
      <c r="W79" s="201">
        <f>I79+L79+O79+R79</f>
        <v>7</v>
      </c>
      <c r="X79" s="62"/>
    </row>
    <row r="80" spans="1:24" s="66" customFormat="1" ht="30" customHeight="1" x14ac:dyDescent="0.3">
      <c r="A80" s="3" t="s">
        <v>108</v>
      </c>
      <c r="B80" s="175">
        <v>46</v>
      </c>
      <c r="C80" s="176" t="s">
        <v>73</v>
      </c>
      <c r="D80" s="177" t="s">
        <v>259</v>
      </c>
      <c r="E80" s="176" t="s">
        <v>30</v>
      </c>
      <c r="F80" s="3" t="s">
        <v>105</v>
      </c>
      <c r="G80" s="1">
        <v>72</v>
      </c>
      <c r="H80" s="2">
        <v>44</v>
      </c>
      <c r="I80" s="3">
        <v>3</v>
      </c>
      <c r="J80" s="178">
        <v>64</v>
      </c>
      <c r="K80" s="3">
        <v>34</v>
      </c>
      <c r="L80" s="3">
        <v>3</v>
      </c>
      <c r="M80" s="1">
        <v>67</v>
      </c>
      <c r="N80" s="2">
        <v>39</v>
      </c>
      <c r="O80" s="3">
        <v>3</v>
      </c>
      <c r="P80" s="1">
        <v>78</v>
      </c>
      <c r="Q80" s="2">
        <v>42</v>
      </c>
      <c r="R80" s="3">
        <v>3</v>
      </c>
      <c r="S80" s="179">
        <f t="shared" si="29"/>
        <v>281</v>
      </c>
      <c r="T80" s="180">
        <f t="shared" si="30"/>
        <v>159</v>
      </c>
      <c r="U80" s="1">
        <v>19</v>
      </c>
      <c r="V80" s="3">
        <v>6</v>
      </c>
      <c r="W80" s="181">
        <f>I80+L80+O80+R80</f>
        <v>12</v>
      </c>
      <c r="X80" s="121"/>
    </row>
    <row r="81" spans="1:24" s="66" customFormat="1" ht="30" customHeight="1" x14ac:dyDescent="0.3">
      <c r="A81" s="3" t="s">
        <v>108</v>
      </c>
      <c r="B81" s="175">
        <v>47</v>
      </c>
      <c r="C81" s="176" t="s">
        <v>53</v>
      </c>
      <c r="D81" s="177" t="s">
        <v>260</v>
      </c>
      <c r="E81" s="176" t="s">
        <v>124</v>
      </c>
      <c r="F81" s="3" t="s">
        <v>105</v>
      </c>
      <c r="G81" s="1">
        <v>42</v>
      </c>
      <c r="H81" s="2">
        <v>16</v>
      </c>
      <c r="I81" s="3">
        <v>2</v>
      </c>
      <c r="J81" s="178">
        <v>41</v>
      </c>
      <c r="K81" s="3">
        <v>14</v>
      </c>
      <c r="L81" s="3">
        <v>2</v>
      </c>
      <c r="M81" s="1">
        <v>26</v>
      </c>
      <c r="N81" s="2">
        <v>17</v>
      </c>
      <c r="O81" s="3">
        <v>1</v>
      </c>
      <c r="P81" s="1">
        <v>36</v>
      </c>
      <c r="Q81" s="2">
        <v>16</v>
      </c>
      <c r="R81" s="3">
        <v>2</v>
      </c>
      <c r="S81" s="179">
        <f t="shared" si="29"/>
        <v>145</v>
      </c>
      <c r="T81" s="180">
        <f t="shared" si="30"/>
        <v>63</v>
      </c>
      <c r="U81" s="1">
        <v>6</v>
      </c>
      <c r="V81" s="3">
        <v>4</v>
      </c>
      <c r="W81" s="181">
        <f>I81+L81+O81+R81</f>
        <v>7</v>
      </c>
      <c r="X81" s="121"/>
    </row>
    <row r="82" spans="1:24" s="66" customFormat="1" ht="30" customHeight="1" thickBot="1" x14ac:dyDescent="0.35">
      <c r="A82" s="211" t="s">
        <v>108</v>
      </c>
      <c r="B82" s="360" t="s">
        <v>94</v>
      </c>
      <c r="C82" s="361"/>
      <c r="D82" s="361"/>
      <c r="E82" s="361"/>
      <c r="F82" s="362"/>
      <c r="G82" s="203">
        <f t="shared" ref="G82:H82" si="33">SUM(G78:G81)</f>
        <v>194</v>
      </c>
      <c r="H82" s="184">
        <f t="shared" si="33"/>
        <v>100</v>
      </c>
      <c r="I82" s="185">
        <f t="shared" ref="I82:R82" si="34">SUM(I78:I81)</f>
        <v>9</v>
      </c>
      <c r="J82" s="186">
        <v>182</v>
      </c>
      <c r="K82" s="185">
        <v>89</v>
      </c>
      <c r="L82" s="185">
        <f t="shared" si="34"/>
        <v>9</v>
      </c>
      <c r="M82" s="183">
        <f t="shared" si="34"/>
        <v>172</v>
      </c>
      <c r="N82" s="184">
        <f t="shared" si="34"/>
        <v>93</v>
      </c>
      <c r="O82" s="185">
        <f t="shared" si="34"/>
        <v>8</v>
      </c>
      <c r="P82" s="183">
        <f t="shared" si="34"/>
        <v>182</v>
      </c>
      <c r="Q82" s="184">
        <f t="shared" si="34"/>
        <v>84</v>
      </c>
      <c r="R82" s="185">
        <f t="shared" si="34"/>
        <v>8</v>
      </c>
      <c r="S82" s="187">
        <f t="shared" si="29"/>
        <v>730</v>
      </c>
      <c r="T82" s="188">
        <f t="shared" si="30"/>
        <v>366</v>
      </c>
      <c r="U82" s="183">
        <f>SUM(U78:U81)</f>
        <v>31</v>
      </c>
      <c r="V82" s="185">
        <f>SUM(V78:V81)</f>
        <v>13</v>
      </c>
      <c r="W82" s="189">
        <f>SUM(W78:W81)</f>
        <v>34</v>
      </c>
      <c r="X82" s="121"/>
    </row>
    <row r="83" spans="1:24" s="66" customFormat="1" ht="30" customHeight="1" thickBot="1" x14ac:dyDescent="0.35">
      <c r="A83" s="204" t="s">
        <v>108</v>
      </c>
      <c r="B83" s="363" t="s">
        <v>95</v>
      </c>
      <c r="C83" s="364"/>
      <c r="D83" s="364"/>
      <c r="E83" s="364"/>
      <c r="F83" s="365"/>
      <c r="G83" s="203">
        <f t="shared" ref="G83:H83" si="35">G66+G72+G77+G82</f>
        <v>651</v>
      </c>
      <c r="H83" s="184">
        <f t="shared" si="35"/>
        <v>322</v>
      </c>
      <c r="I83" s="185">
        <f t="shared" ref="I83:W83" si="36">I66+I72+I77+I82</f>
        <v>30.25</v>
      </c>
      <c r="J83" s="186">
        <v>663</v>
      </c>
      <c r="K83" s="185">
        <v>327</v>
      </c>
      <c r="L83" s="205">
        <f t="shared" si="36"/>
        <v>29.25</v>
      </c>
      <c r="M83" s="183">
        <f t="shared" si="36"/>
        <v>653</v>
      </c>
      <c r="N83" s="184">
        <f t="shared" si="36"/>
        <v>327</v>
      </c>
      <c r="O83" s="185">
        <f t="shared" si="36"/>
        <v>28.25</v>
      </c>
      <c r="P83" s="183">
        <f t="shared" si="36"/>
        <v>648</v>
      </c>
      <c r="Q83" s="184">
        <f t="shared" si="36"/>
        <v>332</v>
      </c>
      <c r="R83" s="185">
        <f t="shared" si="36"/>
        <v>28.25</v>
      </c>
      <c r="S83" s="206">
        <f t="shared" si="29"/>
        <v>2615</v>
      </c>
      <c r="T83" s="207">
        <f t="shared" si="30"/>
        <v>1308</v>
      </c>
      <c r="U83" s="183">
        <f t="shared" si="36"/>
        <v>134</v>
      </c>
      <c r="V83" s="185">
        <f t="shared" si="36"/>
        <v>55</v>
      </c>
      <c r="W83" s="189">
        <f t="shared" si="36"/>
        <v>116</v>
      </c>
      <c r="X83" s="121"/>
    </row>
    <row r="84" spans="1:24" s="66" customFormat="1" ht="31.95" customHeight="1" x14ac:dyDescent="0.3">
      <c r="A84" s="166" t="s">
        <v>108</v>
      </c>
      <c r="B84" s="175">
        <v>51</v>
      </c>
      <c r="C84" s="176" t="s">
        <v>66</v>
      </c>
      <c r="D84" s="177" t="s">
        <v>261</v>
      </c>
      <c r="E84" s="176" t="s">
        <v>26</v>
      </c>
      <c r="F84" s="3" t="s">
        <v>105</v>
      </c>
      <c r="G84" s="1">
        <v>74</v>
      </c>
      <c r="H84" s="2">
        <v>29</v>
      </c>
      <c r="I84" s="3">
        <v>3</v>
      </c>
      <c r="J84" s="178">
        <v>72</v>
      </c>
      <c r="K84" s="3">
        <v>37</v>
      </c>
      <c r="L84" s="3">
        <v>3</v>
      </c>
      <c r="M84" s="1">
        <v>74</v>
      </c>
      <c r="N84" s="2">
        <v>32</v>
      </c>
      <c r="O84" s="3">
        <v>3</v>
      </c>
      <c r="P84" s="1">
        <v>80</v>
      </c>
      <c r="Q84" s="2">
        <v>42</v>
      </c>
      <c r="R84" s="3">
        <v>3</v>
      </c>
      <c r="S84" s="179">
        <f t="shared" si="29"/>
        <v>300</v>
      </c>
      <c r="T84" s="180">
        <f t="shared" si="30"/>
        <v>140</v>
      </c>
      <c r="U84" s="1">
        <v>41</v>
      </c>
      <c r="V84" s="3">
        <v>18</v>
      </c>
      <c r="W84" s="181">
        <f>I84+L84+O84+R84</f>
        <v>12</v>
      </c>
      <c r="X84" s="121"/>
    </row>
    <row r="85" spans="1:24" s="69" customFormat="1" ht="30" customHeight="1" x14ac:dyDescent="0.3">
      <c r="A85" s="7" t="s">
        <v>108</v>
      </c>
      <c r="B85" s="197">
        <v>51</v>
      </c>
      <c r="C85" s="198" t="s">
        <v>66</v>
      </c>
      <c r="D85" s="177" t="s">
        <v>263</v>
      </c>
      <c r="E85" s="176" t="s">
        <v>114</v>
      </c>
      <c r="F85" s="3" t="s">
        <v>107</v>
      </c>
      <c r="G85" s="5">
        <v>82</v>
      </c>
      <c r="H85" s="6">
        <v>29</v>
      </c>
      <c r="I85" s="7">
        <v>3</v>
      </c>
      <c r="J85" s="200">
        <v>85</v>
      </c>
      <c r="K85" s="7">
        <v>39</v>
      </c>
      <c r="L85" s="7">
        <v>3</v>
      </c>
      <c r="M85" s="5">
        <v>88</v>
      </c>
      <c r="N85" s="6">
        <v>47</v>
      </c>
      <c r="O85" s="7">
        <v>3</v>
      </c>
      <c r="P85" s="5">
        <v>83</v>
      </c>
      <c r="Q85" s="6">
        <v>39</v>
      </c>
      <c r="R85" s="7">
        <v>3</v>
      </c>
      <c r="S85" s="200">
        <f t="shared" si="29"/>
        <v>338</v>
      </c>
      <c r="T85" s="199">
        <f t="shared" si="30"/>
        <v>154</v>
      </c>
      <c r="U85" s="4">
        <v>14</v>
      </c>
      <c r="V85" s="202">
        <v>5</v>
      </c>
      <c r="W85" s="201">
        <f>I85+L85+O85+R85</f>
        <v>12</v>
      </c>
      <c r="X85" s="62"/>
    </row>
    <row r="86" spans="1:24" s="69" customFormat="1" ht="66" customHeight="1" x14ac:dyDescent="0.3">
      <c r="A86" s="7" t="s">
        <v>108</v>
      </c>
      <c r="B86" s="197">
        <v>51</v>
      </c>
      <c r="C86" s="198" t="s">
        <v>66</v>
      </c>
      <c r="D86" s="177" t="s">
        <v>262</v>
      </c>
      <c r="E86" s="176" t="s">
        <v>115</v>
      </c>
      <c r="F86" s="3" t="s">
        <v>106</v>
      </c>
      <c r="G86" s="4">
        <v>109</v>
      </c>
      <c r="H86" s="199">
        <v>55</v>
      </c>
      <c r="I86" s="7">
        <v>4</v>
      </c>
      <c r="J86" s="200">
        <v>112</v>
      </c>
      <c r="K86" s="7">
        <v>56</v>
      </c>
      <c r="L86" s="7">
        <v>4</v>
      </c>
      <c r="M86" s="4">
        <v>106</v>
      </c>
      <c r="N86" s="199">
        <v>56</v>
      </c>
      <c r="O86" s="7">
        <v>4</v>
      </c>
      <c r="P86" s="4">
        <v>100</v>
      </c>
      <c r="Q86" s="199">
        <v>51</v>
      </c>
      <c r="R86" s="7">
        <v>4</v>
      </c>
      <c r="S86" s="200">
        <f t="shared" si="29"/>
        <v>427</v>
      </c>
      <c r="T86" s="199">
        <f t="shared" si="30"/>
        <v>218</v>
      </c>
      <c r="U86" s="4">
        <v>21</v>
      </c>
      <c r="V86" s="7">
        <v>10</v>
      </c>
      <c r="W86" s="201">
        <f>I86+L86+O86+R86</f>
        <v>16</v>
      </c>
      <c r="X86" s="62"/>
    </row>
    <row r="87" spans="1:24" s="66" customFormat="1" ht="30" customHeight="1" x14ac:dyDescent="0.3">
      <c r="A87" s="3" t="s">
        <v>108</v>
      </c>
      <c r="B87" s="175">
        <v>52</v>
      </c>
      <c r="C87" s="176" t="s">
        <v>72</v>
      </c>
      <c r="D87" s="177" t="s">
        <v>264</v>
      </c>
      <c r="E87" s="176" t="s">
        <v>29</v>
      </c>
      <c r="F87" s="3" t="s">
        <v>105</v>
      </c>
      <c r="G87" s="1">
        <v>57</v>
      </c>
      <c r="H87" s="2">
        <v>26</v>
      </c>
      <c r="I87" s="3">
        <v>2</v>
      </c>
      <c r="J87" s="178">
        <v>51</v>
      </c>
      <c r="K87" s="3">
        <v>28</v>
      </c>
      <c r="L87" s="3">
        <v>2</v>
      </c>
      <c r="M87" s="1">
        <v>53</v>
      </c>
      <c r="N87" s="2">
        <v>25</v>
      </c>
      <c r="O87" s="3">
        <v>2</v>
      </c>
      <c r="P87" s="1">
        <v>45</v>
      </c>
      <c r="Q87" s="2">
        <v>23</v>
      </c>
      <c r="R87" s="3">
        <v>2</v>
      </c>
      <c r="S87" s="179">
        <f t="shared" si="29"/>
        <v>206</v>
      </c>
      <c r="T87" s="180">
        <f t="shared" si="30"/>
        <v>102</v>
      </c>
      <c r="U87" s="1">
        <v>12</v>
      </c>
      <c r="V87" s="3">
        <v>8</v>
      </c>
      <c r="W87" s="181">
        <f>I87+L87+O87+R87</f>
        <v>8</v>
      </c>
      <c r="X87" s="121"/>
    </row>
    <row r="88" spans="1:24" s="69" customFormat="1" ht="30" customHeight="1" x14ac:dyDescent="0.3">
      <c r="A88" s="7" t="s">
        <v>108</v>
      </c>
      <c r="B88" s="197">
        <v>54</v>
      </c>
      <c r="C88" s="198" t="s">
        <v>89</v>
      </c>
      <c r="D88" s="177" t="s">
        <v>265</v>
      </c>
      <c r="E88" s="176" t="s">
        <v>111</v>
      </c>
      <c r="F88" s="3" t="s">
        <v>107</v>
      </c>
      <c r="G88" s="5">
        <v>24</v>
      </c>
      <c r="H88" s="6">
        <v>13</v>
      </c>
      <c r="I88" s="7">
        <v>1</v>
      </c>
      <c r="J88" s="200">
        <v>43</v>
      </c>
      <c r="K88" s="7">
        <v>22</v>
      </c>
      <c r="L88" s="7">
        <v>2</v>
      </c>
      <c r="M88" s="5">
        <v>50</v>
      </c>
      <c r="N88" s="6">
        <v>24</v>
      </c>
      <c r="O88" s="7">
        <v>2</v>
      </c>
      <c r="P88" s="5">
        <v>63</v>
      </c>
      <c r="Q88" s="6">
        <v>31</v>
      </c>
      <c r="R88" s="7">
        <v>3</v>
      </c>
      <c r="S88" s="200">
        <f t="shared" si="29"/>
        <v>180</v>
      </c>
      <c r="T88" s="199">
        <f t="shared" si="30"/>
        <v>90</v>
      </c>
      <c r="U88" s="4">
        <v>3</v>
      </c>
      <c r="V88" s="202">
        <v>1</v>
      </c>
      <c r="W88" s="201">
        <f>I88+L88+O88+R88</f>
        <v>8</v>
      </c>
      <c r="X88" s="62"/>
    </row>
    <row r="89" spans="1:24" s="69" customFormat="1" ht="30" customHeight="1" x14ac:dyDescent="0.3">
      <c r="A89" s="7" t="s">
        <v>108</v>
      </c>
      <c r="B89" s="197">
        <v>56</v>
      </c>
      <c r="C89" s="198" t="s">
        <v>83</v>
      </c>
      <c r="D89" s="177" t="s">
        <v>266</v>
      </c>
      <c r="E89" s="176" t="s">
        <v>38</v>
      </c>
      <c r="F89" s="3" t="s">
        <v>107</v>
      </c>
      <c r="G89" s="5">
        <v>81</v>
      </c>
      <c r="H89" s="6">
        <v>33</v>
      </c>
      <c r="I89" s="7">
        <v>3</v>
      </c>
      <c r="J89" s="200">
        <v>74</v>
      </c>
      <c r="K89" s="7">
        <v>39</v>
      </c>
      <c r="L89" s="7">
        <v>3</v>
      </c>
      <c r="M89" s="5">
        <v>62</v>
      </c>
      <c r="N89" s="6">
        <v>25</v>
      </c>
      <c r="O89" s="7">
        <v>3</v>
      </c>
      <c r="P89" s="5">
        <v>66</v>
      </c>
      <c r="Q89" s="6">
        <v>38</v>
      </c>
      <c r="R89" s="7">
        <v>3</v>
      </c>
      <c r="S89" s="200">
        <f t="shared" si="29"/>
        <v>283</v>
      </c>
      <c r="T89" s="199">
        <f t="shared" si="30"/>
        <v>135</v>
      </c>
      <c r="U89" s="4">
        <v>17</v>
      </c>
      <c r="V89" s="202">
        <v>6</v>
      </c>
      <c r="W89" s="201">
        <f>I89+L89+O89+R89</f>
        <v>12</v>
      </c>
      <c r="X89" s="62"/>
    </row>
    <row r="90" spans="1:24" s="66" customFormat="1" ht="30" customHeight="1" x14ac:dyDescent="0.3">
      <c r="A90" s="3" t="s">
        <v>108</v>
      </c>
      <c r="B90" s="175">
        <v>57</v>
      </c>
      <c r="C90" s="176" t="s">
        <v>63</v>
      </c>
      <c r="D90" s="177" t="s">
        <v>267</v>
      </c>
      <c r="E90" s="176" t="s">
        <v>23</v>
      </c>
      <c r="F90" s="3" t="s">
        <v>105</v>
      </c>
      <c r="G90" s="1">
        <v>83</v>
      </c>
      <c r="H90" s="2">
        <v>42</v>
      </c>
      <c r="I90" s="3">
        <v>3</v>
      </c>
      <c r="J90" s="178">
        <v>84</v>
      </c>
      <c r="K90" s="3">
        <v>41</v>
      </c>
      <c r="L90" s="3">
        <v>3</v>
      </c>
      <c r="M90" s="1">
        <v>89</v>
      </c>
      <c r="N90" s="2">
        <v>42</v>
      </c>
      <c r="O90" s="3">
        <v>4</v>
      </c>
      <c r="P90" s="1">
        <v>80</v>
      </c>
      <c r="Q90" s="2">
        <v>36</v>
      </c>
      <c r="R90" s="3">
        <v>4</v>
      </c>
      <c r="S90" s="179">
        <f t="shared" si="29"/>
        <v>336</v>
      </c>
      <c r="T90" s="180">
        <f t="shared" si="30"/>
        <v>161</v>
      </c>
      <c r="U90" s="1">
        <v>14</v>
      </c>
      <c r="V90" s="3">
        <v>9</v>
      </c>
      <c r="W90" s="181">
        <f>I90+L90+O90+R90</f>
        <v>14</v>
      </c>
      <c r="X90" s="121"/>
    </row>
    <row r="91" spans="1:24" s="65" customFormat="1" ht="34.5" customHeight="1" x14ac:dyDescent="0.3">
      <c r="A91" s="3" t="s">
        <v>108</v>
      </c>
      <c r="B91" s="208">
        <v>58</v>
      </c>
      <c r="C91" s="209" t="s">
        <v>50</v>
      </c>
      <c r="D91" s="210" t="s">
        <v>268</v>
      </c>
      <c r="E91" s="209" t="s">
        <v>12</v>
      </c>
      <c r="F91" s="211" t="s">
        <v>105</v>
      </c>
      <c r="G91" s="1">
        <v>48</v>
      </c>
      <c r="H91" s="2">
        <v>15</v>
      </c>
      <c r="I91" s="3">
        <v>2</v>
      </c>
      <c r="J91" s="178">
        <v>51</v>
      </c>
      <c r="K91" s="3">
        <v>31</v>
      </c>
      <c r="L91" s="3">
        <v>2</v>
      </c>
      <c r="M91" s="1">
        <v>49</v>
      </c>
      <c r="N91" s="2">
        <v>27</v>
      </c>
      <c r="O91" s="3">
        <v>2</v>
      </c>
      <c r="P91" s="1">
        <v>32</v>
      </c>
      <c r="Q91" s="2">
        <v>14</v>
      </c>
      <c r="R91" s="3">
        <v>2</v>
      </c>
      <c r="S91" s="179">
        <f t="shared" si="29"/>
        <v>180</v>
      </c>
      <c r="T91" s="180">
        <f t="shared" si="30"/>
        <v>87</v>
      </c>
      <c r="U91" s="1">
        <v>8</v>
      </c>
      <c r="V91" s="3">
        <v>5</v>
      </c>
      <c r="W91" s="181">
        <f>I91+L91+O91+R91</f>
        <v>8</v>
      </c>
      <c r="X91" s="120"/>
    </row>
    <row r="92" spans="1:24" s="66" customFormat="1" ht="30" customHeight="1" thickBot="1" x14ac:dyDescent="0.35">
      <c r="A92" s="182" t="s">
        <v>108</v>
      </c>
      <c r="B92" s="360" t="s">
        <v>96</v>
      </c>
      <c r="C92" s="361"/>
      <c r="D92" s="361"/>
      <c r="E92" s="361"/>
      <c r="F92" s="362"/>
      <c r="G92" s="203">
        <f t="shared" ref="G92:H92" si="37">SUM(G84:G91)</f>
        <v>558</v>
      </c>
      <c r="H92" s="184">
        <f t="shared" si="37"/>
        <v>242</v>
      </c>
      <c r="I92" s="185">
        <f t="shared" ref="I92:P92" si="38">SUM(I84:I91)</f>
        <v>21</v>
      </c>
      <c r="J92" s="186">
        <v>572</v>
      </c>
      <c r="K92" s="185">
        <v>293</v>
      </c>
      <c r="L92" s="212">
        <f t="shared" si="38"/>
        <v>22</v>
      </c>
      <c r="M92" s="183">
        <f t="shared" si="38"/>
        <v>571</v>
      </c>
      <c r="N92" s="184">
        <f t="shared" si="38"/>
        <v>278</v>
      </c>
      <c r="O92" s="185">
        <f t="shared" si="38"/>
        <v>23</v>
      </c>
      <c r="P92" s="183">
        <f t="shared" si="38"/>
        <v>549</v>
      </c>
      <c r="Q92" s="184">
        <f t="shared" ref="Q92:W92" si="39">SUM(Q84:Q91)</f>
        <v>274</v>
      </c>
      <c r="R92" s="185">
        <f t="shared" si="39"/>
        <v>24</v>
      </c>
      <c r="S92" s="206">
        <f t="shared" si="29"/>
        <v>2250</v>
      </c>
      <c r="T92" s="207">
        <f t="shared" si="30"/>
        <v>1087</v>
      </c>
      <c r="U92" s="183">
        <f t="shared" si="39"/>
        <v>130</v>
      </c>
      <c r="V92" s="185">
        <f t="shared" si="39"/>
        <v>62</v>
      </c>
      <c r="W92" s="189">
        <f t="shared" si="39"/>
        <v>90</v>
      </c>
      <c r="X92" s="121"/>
    </row>
    <row r="93" spans="1:24" s="69" customFormat="1" ht="45" customHeight="1" x14ac:dyDescent="0.3">
      <c r="A93" s="213" t="s">
        <v>108</v>
      </c>
      <c r="B93" s="197">
        <v>61</v>
      </c>
      <c r="C93" s="198" t="s">
        <v>69</v>
      </c>
      <c r="D93" s="177" t="s">
        <v>269</v>
      </c>
      <c r="E93" s="176" t="s">
        <v>116</v>
      </c>
      <c r="F93" s="3" t="s">
        <v>106</v>
      </c>
      <c r="G93" s="4">
        <v>44</v>
      </c>
      <c r="H93" s="199">
        <v>22</v>
      </c>
      <c r="I93" s="7">
        <v>2</v>
      </c>
      <c r="J93" s="200">
        <v>37</v>
      </c>
      <c r="K93" s="7">
        <v>19</v>
      </c>
      <c r="L93" s="7">
        <v>2</v>
      </c>
      <c r="M93" s="4">
        <v>43</v>
      </c>
      <c r="N93" s="199">
        <v>23</v>
      </c>
      <c r="O93" s="7">
        <v>2</v>
      </c>
      <c r="P93" s="4">
        <v>33</v>
      </c>
      <c r="Q93" s="199">
        <v>24</v>
      </c>
      <c r="R93" s="7">
        <v>2</v>
      </c>
      <c r="S93" s="200">
        <f t="shared" si="29"/>
        <v>157</v>
      </c>
      <c r="T93" s="199">
        <f t="shared" si="30"/>
        <v>88</v>
      </c>
      <c r="U93" s="4">
        <v>34</v>
      </c>
      <c r="V93" s="7">
        <v>17</v>
      </c>
      <c r="W93" s="201">
        <f>I93+L93+O93+R93</f>
        <v>8</v>
      </c>
      <c r="X93" s="62"/>
    </row>
    <row r="94" spans="1:24" s="66" customFormat="1" ht="60" customHeight="1" x14ac:dyDescent="0.3">
      <c r="A94" s="166" t="s">
        <v>108</v>
      </c>
      <c r="B94" s="175">
        <v>61</v>
      </c>
      <c r="C94" s="176" t="s">
        <v>69</v>
      </c>
      <c r="D94" s="177" t="s">
        <v>271</v>
      </c>
      <c r="E94" s="176" t="s">
        <v>125</v>
      </c>
      <c r="F94" s="3" t="s">
        <v>105</v>
      </c>
      <c r="G94" s="1">
        <v>70</v>
      </c>
      <c r="H94" s="2">
        <v>28</v>
      </c>
      <c r="I94" s="3">
        <v>3</v>
      </c>
      <c r="J94" s="178">
        <v>84</v>
      </c>
      <c r="K94" s="3">
        <v>42</v>
      </c>
      <c r="L94" s="3">
        <v>3</v>
      </c>
      <c r="M94" s="1">
        <v>62</v>
      </c>
      <c r="N94" s="2">
        <v>31</v>
      </c>
      <c r="O94" s="3">
        <v>3</v>
      </c>
      <c r="P94" s="1">
        <v>57</v>
      </c>
      <c r="Q94" s="2">
        <v>26</v>
      </c>
      <c r="R94" s="3">
        <v>3</v>
      </c>
      <c r="S94" s="179">
        <f t="shared" si="29"/>
        <v>273</v>
      </c>
      <c r="T94" s="180">
        <f t="shared" si="30"/>
        <v>127</v>
      </c>
      <c r="U94" s="1">
        <v>30</v>
      </c>
      <c r="V94" s="3">
        <v>14</v>
      </c>
      <c r="W94" s="181">
        <f>I94+L94+O94+R94</f>
        <v>12</v>
      </c>
      <c r="X94" s="121"/>
    </row>
    <row r="95" spans="1:24" s="69" customFormat="1" ht="31.2" customHeight="1" x14ac:dyDescent="0.3">
      <c r="A95" s="190" t="s">
        <v>108</v>
      </c>
      <c r="B95" s="214">
        <v>62</v>
      </c>
      <c r="C95" s="215" t="s">
        <v>77</v>
      </c>
      <c r="D95" s="216" t="s">
        <v>272</v>
      </c>
      <c r="E95" s="217" t="s">
        <v>117</v>
      </c>
      <c r="F95" s="2" t="s">
        <v>107</v>
      </c>
      <c r="G95" s="4">
        <v>48</v>
      </c>
      <c r="H95" s="199">
        <v>25</v>
      </c>
      <c r="I95" s="7">
        <v>2</v>
      </c>
      <c r="J95" s="200">
        <v>43</v>
      </c>
      <c r="K95" s="199">
        <v>25</v>
      </c>
      <c r="L95" s="218">
        <v>2</v>
      </c>
      <c r="M95" s="4">
        <v>64</v>
      </c>
      <c r="N95" s="199">
        <v>31</v>
      </c>
      <c r="O95" s="7">
        <v>3</v>
      </c>
      <c r="P95" s="4">
        <v>37</v>
      </c>
      <c r="Q95" s="199">
        <v>20</v>
      </c>
      <c r="R95" s="7">
        <v>2</v>
      </c>
      <c r="S95" s="4">
        <f t="shared" si="29"/>
        <v>192</v>
      </c>
      <c r="T95" s="199">
        <f t="shared" si="30"/>
        <v>101</v>
      </c>
      <c r="U95" s="4">
        <v>10</v>
      </c>
      <c r="V95" s="7">
        <v>8</v>
      </c>
      <c r="W95" s="201">
        <f>I95+L95+O95+R95</f>
        <v>9</v>
      </c>
      <c r="X95" s="62"/>
    </row>
    <row r="96" spans="1:24" s="69" customFormat="1" ht="30" customHeight="1" x14ac:dyDescent="0.3">
      <c r="A96" s="7" t="s">
        <v>108</v>
      </c>
      <c r="B96" s="214">
        <v>63</v>
      </c>
      <c r="C96" s="215" t="s">
        <v>80</v>
      </c>
      <c r="D96" s="216" t="s">
        <v>273</v>
      </c>
      <c r="E96" s="217" t="s">
        <v>110</v>
      </c>
      <c r="F96" s="2" t="s">
        <v>107</v>
      </c>
      <c r="G96" s="5">
        <v>43</v>
      </c>
      <c r="H96" s="6">
        <v>17</v>
      </c>
      <c r="I96" s="7">
        <v>2</v>
      </c>
      <c r="J96" s="200">
        <v>40</v>
      </c>
      <c r="K96" s="199">
        <v>17</v>
      </c>
      <c r="L96" s="218">
        <v>2</v>
      </c>
      <c r="M96" s="5">
        <v>42</v>
      </c>
      <c r="N96" s="6">
        <v>23</v>
      </c>
      <c r="O96" s="7">
        <v>2</v>
      </c>
      <c r="P96" s="5">
        <v>35</v>
      </c>
      <c r="Q96" s="6">
        <v>15</v>
      </c>
      <c r="R96" s="7">
        <v>2</v>
      </c>
      <c r="S96" s="4">
        <f t="shared" si="29"/>
        <v>160</v>
      </c>
      <c r="T96" s="199">
        <f t="shared" si="30"/>
        <v>72</v>
      </c>
      <c r="U96" s="4">
        <v>9</v>
      </c>
      <c r="V96" s="202">
        <v>2</v>
      </c>
      <c r="W96" s="201">
        <f>I96+L96+O96+R96</f>
        <v>8</v>
      </c>
      <c r="X96" s="62"/>
    </row>
    <row r="97" spans="1:24" s="69" customFormat="1" ht="59.25" customHeight="1" x14ac:dyDescent="0.3">
      <c r="A97" s="7" t="s">
        <v>108</v>
      </c>
      <c r="B97" s="214">
        <v>63</v>
      </c>
      <c r="C97" s="215" t="s">
        <v>80</v>
      </c>
      <c r="D97" s="216" t="s">
        <v>274</v>
      </c>
      <c r="E97" s="217" t="s">
        <v>122</v>
      </c>
      <c r="F97" s="2" t="s">
        <v>107</v>
      </c>
      <c r="G97" s="5">
        <v>75</v>
      </c>
      <c r="H97" s="6">
        <v>36</v>
      </c>
      <c r="I97" s="7">
        <v>3</v>
      </c>
      <c r="J97" s="200">
        <v>44</v>
      </c>
      <c r="K97" s="199">
        <v>23</v>
      </c>
      <c r="L97" s="218">
        <v>2</v>
      </c>
      <c r="M97" s="5">
        <v>64</v>
      </c>
      <c r="N97" s="6">
        <v>29</v>
      </c>
      <c r="O97" s="7">
        <v>3</v>
      </c>
      <c r="P97" s="5">
        <v>58</v>
      </c>
      <c r="Q97" s="6">
        <v>27</v>
      </c>
      <c r="R97" s="7">
        <v>3</v>
      </c>
      <c r="S97" s="4">
        <f t="shared" si="29"/>
        <v>241</v>
      </c>
      <c r="T97" s="199">
        <f t="shared" si="30"/>
        <v>115</v>
      </c>
      <c r="U97" s="4">
        <v>50</v>
      </c>
      <c r="V97" s="202">
        <v>25</v>
      </c>
      <c r="W97" s="201">
        <f>I97+L97+O97+R97</f>
        <v>11</v>
      </c>
      <c r="X97" s="62"/>
    </row>
    <row r="98" spans="1:24" s="66" customFormat="1" ht="31.95" customHeight="1" x14ac:dyDescent="0.3">
      <c r="A98" s="3" t="s">
        <v>108</v>
      </c>
      <c r="B98" s="219">
        <v>68</v>
      </c>
      <c r="C98" s="220" t="s">
        <v>56</v>
      </c>
      <c r="D98" s="221" t="s">
        <v>275</v>
      </c>
      <c r="E98" s="220" t="s">
        <v>17</v>
      </c>
      <c r="F98" s="222" t="s">
        <v>105</v>
      </c>
      <c r="G98" s="1">
        <v>26</v>
      </c>
      <c r="H98" s="2">
        <v>13</v>
      </c>
      <c r="I98" s="3">
        <v>1</v>
      </c>
      <c r="J98" s="178">
        <v>29</v>
      </c>
      <c r="K98" s="2">
        <v>15</v>
      </c>
      <c r="L98" s="223">
        <v>1</v>
      </c>
      <c r="M98" s="1">
        <v>25</v>
      </c>
      <c r="N98" s="2">
        <v>9</v>
      </c>
      <c r="O98" s="3">
        <v>1</v>
      </c>
      <c r="P98" s="1">
        <v>25</v>
      </c>
      <c r="Q98" s="2">
        <v>16</v>
      </c>
      <c r="R98" s="3">
        <v>1</v>
      </c>
      <c r="S98" s="224">
        <f t="shared" si="29"/>
        <v>105</v>
      </c>
      <c r="T98" s="180">
        <f t="shared" si="30"/>
        <v>53</v>
      </c>
      <c r="U98" s="1">
        <v>4</v>
      </c>
      <c r="V98" s="3">
        <v>1</v>
      </c>
      <c r="W98" s="181">
        <f>I98+L98+O98+R98</f>
        <v>4</v>
      </c>
      <c r="X98" s="121"/>
    </row>
    <row r="99" spans="1:24" s="66" customFormat="1" ht="30" customHeight="1" thickBot="1" x14ac:dyDescent="0.35">
      <c r="A99" s="182" t="s">
        <v>108</v>
      </c>
      <c r="B99" s="360" t="s">
        <v>98</v>
      </c>
      <c r="C99" s="361"/>
      <c r="D99" s="361"/>
      <c r="E99" s="361"/>
      <c r="F99" s="362"/>
      <c r="G99" s="203">
        <f>SUM(G93:G98)</f>
        <v>306</v>
      </c>
      <c r="H99" s="184">
        <f t="shared" ref="H99" si="40">SUM(H93:H98)</f>
        <v>141</v>
      </c>
      <c r="I99" s="185">
        <f t="shared" ref="I99:W99" si="41">SUM(I93:I98)</f>
        <v>13</v>
      </c>
      <c r="J99" s="186">
        <v>277</v>
      </c>
      <c r="K99" s="185">
        <v>141</v>
      </c>
      <c r="L99" s="212">
        <f t="shared" si="41"/>
        <v>12</v>
      </c>
      <c r="M99" s="183">
        <f t="shared" si="41"/>
        <v>300</v>
      </c>
      <c r="N99" s="184">
        <f t="shared" si="41"/>
        <v>146</v>
      </c>
      <c r="O99" s="185">
        <f t="shared" si="41"/>
        <v>14</v>
      </c>
      <c r="P99" s="183">
        <f t="shared" si="41"/>
        <v>245</v>
      </c>
      <c r="Q99" s="184">
        <f t="shared" si="41"/>
        <v>128</v>
      </c>
      <c r="R99" s="185">
        <f t="shared" si="41"/>
        <v>13</v>
      </c>
      <c r="S99" s="206">
        <f t="shared" si="29"/>
        <v>1128</v>
      </c>
      <c r="T99" s="207">
        <f t="shared" si="30"/>
        <v>556</v>
      </c>
      <c r="U99" s="183">
        <f t="shared" si="41"/>
        <v>137</v>
      </c>
      <c r="V99" s="185">
        <f t="shared" si="41"/>
        <v>67</v>
      </c>
      <c r="W99" s="189">
        <f t="shared" si="41"/>
        <v>52</v>
      </c>
      <c r="X99" s="121"/>
    </row>
    <row r="100" spans="1:24" s="69" customFormat="1" ht="30" customHeight="1" x14ac:dyDescent="0.3">
      <c r="A100" s="7" t="s">
        <v>108</v>
      </c>
      <c r="B100" s="214">
        <v>71</v>
      </c>
      <c r="C100" s="215" t="s">
        <v>71</v>
      </c>
      <c r="D100" s="216" t="s">
        <v>276</v>
      </c>
      <c r="E100" s="217" t="s">
        <v>126</v>
      </c>
      <c r="F100" s="2" t="s">
        <v>107</v>
      </c>
      <c r="G100" s="5">
        <v>43</v>
      </c>
      <c r="H100" s="6">
        <v>18</v>
      </c>
      <c r="I100" s="7">
        <v>2</v>
      </c>
      <c r="J100" s="200">
        <v>45</v>
      </c>
      <c r="K100" s="7">
        <v>23</v>
      </c>
      <c r="L100" s="218">
        <v>2</v>
      </c>
      <c r="M100" s="5">
        <v>44</v>
      </c>
      <c r="N100" s="6">
        <v>19</v>
      </c>
      <c r="O100" s="7">
        <v>2</v>
      </c>
      <c r="P100" s="5">
        <v>51</v>
      </c>
      <c r="Q100" s="6">
        <v>23</v>
      </c>
      <c r="R100" s="7">
        <v>2</v>
      </c>
      <c r="S100" s="4">
        <f t="shared" si="29"/>
        <v>183</v>
      </c>
      <c r="T100" s="199">
        <f t="shared" si="30"/>
        <v>83</v>
      </c>
      <c r="U100" s="4">
        <v>8</v>
      </c>
      <c r="V100" s="202">
        <v>3</v>
      </c>
      <c r="W100" s="258">
        <f>I100+L100+O100+R100</f>
        <v>8</v>
      </c>
      <c r="X100" s="62"/>
    </row>
    <row r="101" spans="1:24" s="66" customFormat="1" ht="31.95" customHeight="1" x14ac:dyDescent="0.3">
      <c r="A101" s="3" t="s">
        <v>108</v>
      </c>
      <c r="B101" s="225">
        <v>71</v>
      </c>
      <c r="C101" s="217" t="s">
        <v>71</v>
      </c>
      <c r="D101" s="216" t="s">
        <v>278</v>
      </c>
      <c r="E101" s="217" t="s">
        <v>28</v>
      </c>
      <c r="F101" s="2" t="s">
        <v>105</v>
      </c>
      <c r="G101" s="1">
        <v>24</v>
      </c>
      <c r="H101" s="2">
        <v>7</v>
      </c>
      <c r="I101" s="3">
        <v>1</v>
      </c>
      <c r="J101" s="178">
        <v>25</v>
      </c>
      <c r="K101" s="3">
        <v>14</v>
      </c>
      <c r="L101" s="223">
        <v>1</v>
      </c>
      <c r="M101" s="1">
        <v>36</v>
      </c>
      <c r="N101" s="2">
        <v>15</v>
      </c>
      <c r="O101" s="3">
        <v>2</v>
      </c>
      <c r="P101" s="1">
        <v>30</v>
      </c>
      <c r="Q101" s="2">
        <v>20</v>
      </c>
      <c r="R101" s="3">
        <v>1</v>
      </c>
      <c r="S101" s="224">
        <f t="shared" si="29"/>
        <v>115</v>
      </c>
      <c r="T101" s="180">
        <f t="shared" si="30"/>
        <v>56</v>
      </c>
      <c r="U101" s="1">
        <v>1</v>
      </c>
      <c r="V101" s="3">
        <v>1</v>
      </c>
      <c r="W101" s="174">
        <f>I101+L101+O101+R101</f>
        <v>5</v>
      </c>
      <c r="X101" s="121"/>
    </row>
    <row r="102" spans="1:24" s="65" customFormat="1" ht="16.2" thickBot="1" x14ac:dyDescent="0.35">
      <c r="A102" s="118" t="s">
        <v>108</v>
      </c>
      <c r="B102" s="214">
        <v>76</v>
      </c>
      <c r="C102" s="215" t="s">
        <v>78</v>
      </c>
      <c r="D102" s="216" t="s">
        <v>279</v>
      </c>
      <c r="E102" s="217" t="s">
        <v>35</v>
      </c>
      <c r="F102" s="2" t="s">
        <v>107</v>
      </c>
      <c r="G102" s="5">
        <v>24</v>
      </c>
      <c r="H102" s="6">
        <v>11</v>
      </c>
      <c r="I102" s="7">
        <v>1</v>
      </c>
      <c r="J102" s="200">
        <v>26</v>
      </c>
      <c r="K102" s="7">
        <v>16</v>
      </c>
      <c r="L102" s="218">
        <v>1</v>
      </c>
      <c r="M102" s="227">
        <v>26</v>
      </c>
      <c r="N102" s="6">
        <v>16</v>
      </c>
      <c r="O102" s="7">
        <v>1</v>
      </c>
      <c r="P102" s="5">
        <v>28</v>
      </c>
      <c r="Q102" s="6">
        <v>12</v>
      </c>
      <c r="R102" s="7">
        <v>1</v>
      </c>
      <c r="S102" s="4">
        <f t="shared" si="29"/>
        <v>104</v>
      </c>
      <c r="T102" s="199">
        <f t="shared" si="30"/>
        <v>55</v>
      </c>
      <c r="U102" s="4">
        <v>5</v>
      </c>
      <c r="V102" s="202">
        <v>2</v>
      </c>
      <c r="W102" s="201">
        <f>I102+L102+O102+R102</f>
        <v>4</v>
      </c>
      <c r="X102" s="120"/>
    </row>
    <row r="103" spans="1:24" s="66" customFormat="1" ht="30.6" x14ac:dyDescent="0.3">
      <c r="A103" s="249" t="s">
        <v>108</v>
      </c>
      <c r="B103" s="225">
        <v>77</v>
      </c>
      <c r="C103" s="217" t="s">
        <v>59</v>
      </c>
      <c r="D103" s="216" t="s">
        <v>280</v>
      </c>
      <c r="E103" s="217" t="s">
        <v>20</v>
      </c>
      <c r="F103" s="2" t="s">
        <v>105</v>
      </c>
      <c r="G103" s="1">
        <v>48</v>
      </c>
      <c r="H103" s="2">
        <v>24</v>
      </c>
      <c r="I103" s="3">
        <v>2</v>
      </c>
      <c r="J103" s="178">
        <v>53</v>
      </c>
      <c r="K103" s="3">
        <v>22</v>
      </c>
      <c r="L103" s="3">
        <v>2</v>
      </c>
      <c r="M103" s="1">
        <v>60</v>
      </c>
      <c r="N103" s="2">
        <v>27</v>
      </c>
      <c r="O103" s="3">
        <v>2</v>
      </c>
      <c r="P103" s="1">
        <v>40</v>
      </c>
      <c r="Q103" s="2">
        <v>20</v>
      </c>
      <c r="R103" s="3">
        <v>2</v>
      </c>
      <c r="S103" s="224">
        <f t="shared" si="29"/>
        <v>201</v>
      </c>
      <c r="T103" s="180">
        <f t="shared" si="30"/>
        <v>93</v>
      </c>
      <c r="U103" s="1">
        <v>4</v>
      </c>
      <c r="V103" s="2">
        <v>2</v>
      </c>
      <c r="W103" s="181">
        <f>I103+L103+O103+R103</f>
        <v>8</v>
      </c>
      <c r="X103" s="121"/>
    </row>
    <row r="104" spans="1:24" s="69" customFormat="1" ht="30.6" x14ac:dyDescent="0.3">
      <c r="A104" s="118" t="s">
        <v>108</v>
      </c>
      <c r="B104" s="228">
        <v>77</v>
      </c>
      <c r="C104" s="215" t="s">
        <v>59</v>
      </c>
      <c r="D104" s="216" t="s">
        <v>281</v>
      </c>
      <c r="E104" s="217" t="s">
        <v>40</v>
      </c>
      <c r="F104" s="2" t="s">
        <v>107</v>
      </c>
      <c r="G104" s="5">
        <v>38</v>
      </c>
      <c r="H104" s="6">
        <v>17</v>
      </c>
      <c r="I104" s="7">
        <v>2</v>
      </c>
      <c r="J104" s="200">
        <v>25</v>
      </c>
      <c r="K104" s="7">
        <v>14</v>
      </c>
      <c r="L104" s="7">
        <v>1</v>
      </c>
      <c r="M104" s="5">
        <v>27</v>
      </c>
      <c r="N104" s="6">
        <v>14</v>
      </c>
      <c r="O104" s="7">
        <v>1</v>
      </c>
      <c r="P104" s="5">
        <v>36</v>
      </c>
      <c r="Q104" s="6">
        <v>13</v>
      </c>
      <c r="R104" s="7">
        <v>2</v>
      </c>
      <c r="S104" s="4">
        <f t="shared" si="29"/>
        <v>126</v>
      </c>
      <c r="T104" s="199">
        <f t="shared" si="30"/>
        <v>58</v>
      </c>
      <c r="U104" s="4">
        <v>22</v>
      </c>
      <c r="V104" s="6">
        <v>12</v>
      </c>
      <c r="W104" s="201">
        <f>I104+L104+O104+R104</f>
        <v>6</v>
      </c>
      <c r="X104" s="62"/>
    </row>
    <row r="105" spans="1:24" s="66" customFormat="1" ht="30" customHeight="1" thickBot="1" x14ac:dyDescent="0.35">
      <c r="A105" s="182" t="s">
        <v>108</v>
      </c>
      <c r="B105" s="360" t="s">
        <v>97</v>
      </c>
      <c r="C105" s="361"/>
      <c r="D105" s="361"/>
      <c r="E105" s="361"/>
      <c r="F105" s="362"/>
      <c r="G105" s="203">
        <f>SUM(G100:G104)</f>
        <v>177</v>
      </c>
      <c r="H105" s="184">
        <f t="shared" ref="H105" si="42">SUM(H100:H104)</f>
        <v>77</v>
      </c>
      <c r="I105" s="185">
        <f t="shared" ref="I105:W105" si="43">SUM(I100:I104)</f>
        <v>8</v>
      </c>
      <c r="J105" s="186">
        <v>174</v>
      </c>
      <c r="K105" s="185">
        <v>89</v>
      </c>
      <c r="L105" s="212">
        <f t="shared" si="43"/>
        <v>7</v>
      </c>
      <c r="M105" s="183">
        <f t="shared" si="43"/>
        <v>193</v>
      </c>
      <c r="N105" s="184">
        <f t="shared" si="43"/>
        <v>91</v>
      </c>
      <c r="O105" s="185">
        <f t="shared" si="43"/>
        <v>8</v>
      </c>
      <c r="P105" s="183">
        <f t="shared" si="43"/>
        <v>185</v>
      </c>
      <c r="Q105" s="184">
        <f t="shared" si="43"/>
        <v>88</v>
      </c>
      <c r="R105" s="185">
        <f t="shared" si="43"/>
        <v>8</v>
      </c>
      <c r="S105" s="206">
        <f t="shared" si="29"/>
        <v>729</v>
      </c>
      <c r="T105" s="207">
        <f t="shared" si="30"/>
        <v>345</v>
      </c>
      <c r="U105" s="183">
        <f t="shared" si="43"/>
        <v>40</v>
      </c>
      <c r="V105" s="185">
        <f t="shared" si="43"/>
        <v>20</v>
      </c>
      <c r="W105" s="189">
        <f t="shared" si="43"/>
        <v>31</v>
      </c>
      <c r="X105" s="121"/>
    </row>
    <row r="106" spans="1:24" s="66" customFormat="1" ht="29.25" customHeight="1" x14ac:dyDescent="0.3">
      <c r="A106" s="3" t="s">
        <v>108</v>
      </c>
      <c r="B106" s="225">
        <v>82</v>
      </c>
      <c r="C106" s="217" t="s">
        <v>58</v>
      </c>
      <c r="D106" s="216" t="s">
        <v>282</v>
      </c>
      <c r="E106" s="217" t="s">
        <v>19</v>
      </c>
      <c r="F106" s="2" t="s">
        <v>105</v>
      </c>
      <c r="G106" s="1">
        <v>78</v>
      </c>
      <c r="H106" s="2">
        <v>41</v>
      </c>
      <c r="I106" s="3">
        <v>3</v>
      </c>
      <c r="J106" s="178">
        <v>80</v>
      </c>
      <c r="K106" s="3">
        <v>44</v>
      </c>
      <c r="L106" s="3">
        <v>3</v>
      </c>
      <c r="M106" s="1">
        <v>46</v>
      </c>
      <c r="N106" s="2">
        <v>22</v>
      </c>
      <c r="O106" s="3">
        <v>2</v>
      </c>
      <c r="P106" s="1">
        <v>66</v>
      </c>
      <c r="Q106" s="2">
        <v>30</v>
      </c>
      <c r="R106" s="3">
        <v>3</v>
      </c>
      <c r="S106" s="224">
        <f t="shared" si="29"/>
        <v>270</v>
      </c>
      <c r="T106" s="180">
        <f t="shared" si="30"/>
        <v>137</v>
      </c>
      <c r="U106" s="1">
        <v>3</v>
      </c>
      <c r="V106" s="2">
        <v>1</v>
      </c>
      <c r="W106" s="181">
        <f>I106+L106+O106+R106</f>
        <v>11</v>
      </c>
      <c r="X106" s="121"/>
    </row>
    <row r="107" spans="1:24" s="69" customFormat="1" ht="30" customHeight="1" x14ac:dyDescent="0.3">
      <c r="A107" s="118" t="s">
        <v>108</v>
      </c>
      <c r="B107" s="214">
        <v>82</v>
      </c>
      <c r="C107" s="217" t="s">
        <v>58</v>
      </c>
      <c r="D107" s="216" t="s">
        <v>283</v>
      </c>
      <c r="E107" s="215" t="s">
        <v>34</v>
      </c>
      <c r="F107" s="199" t="s">
        <v>106</v>
      </c>
      <c r="G107" s="4">
        <v>17</v>
      </c>
      <c r="H107" s="199">
        <v>5</v>
      </c>
      <c r="I107" s="7">
        <v>1</v>
      </c>
      <c r="J107" s="200">
        <v>16</v>
      </c>
      <c r="K107" s="7">
        <v>3</v>
      </c>
      <c r="L107" s="7">
        <v>1</v>
      </c>
      <c r="M107" s="4">
        <v>18</v>
      </c>
      <c r="N107" s="199">
        <v>11</v>
      </c>
      <c r="O107" s="7">
        <v>1</v>
      </c>
      <c r="P107" s="4">
        <v>16</v>
      </c>
      <c r="Q107" s="199">
        <v>8</v>
      </c>
      <c r="R107" s="7">
        <v>1</v>
      </c>
      <c r="S107" s="4">
        <f t="shared" si="29"/>
        <v>67</v>
      </c>
      <c r="T107" s="199">
        <f t="shared" si="30"/>
        <v>27</v>
      </c>
      <c r="U107" s="4">
        <v>4</v>
      </c>
      <c r="V107" s="199">
        <v>1</v>
      </c>
      <c r="W107" s="201">
        <f>I107+L107+O107+R107</f>
        <v>4</v>
      </c>
      <c r="X107" s="62"/>
    </row>
    <row r="108" spans="1:24" s="65" customFormat="1" ht="30.75" customHeight="1" x14ac:dyDescent="0.3">
      <c r="A108" s="3" t="s">
        <v>108</v>
      </c>
      <c r="B108" s="229">
        <v>86</v>
      </c>
      <c r="C108" s="217" t="s">
        <v>49</v>
      </c>
      <c r="D108" s="230" t="s">
        <v>284</v>
      </c>
      <c r="E108" s="231" t="s">
        <v>11</v>
      </c>
      <c r="F108" s="232" t="s">
        <v>105</v>
      </c>
      <c r="G108" s="233">
        <v>21</v>
      </c>
      <c r="H108" s="232">
        <v>9</v>
      </c>
      <c r="I108" s="234">
        <v>1</v>
      </c>
      <c r="J108" s="235">
        <v>28</v>
      </c>
      <c r="K108" s="234">
        <v>14</v>
      </c>
      <c r="L108" s="234">
        <v>1</v>
      </c>
      <c r="M108" s="233">
        <v>33</v>
      </c>
      <c r="N108" s="232">
        <v>13</v>
      </c>
      <c r="O108" s="234">
        <v>2</v>
      </c>
      <c r="P108" s="233">
        <v>37</v>
      </c>
      <c r="Q108" s="232">
        <v>22</v>
      </c>
      <c r="R108" s="234">
        <v>2</v>
      </c>
      <c r="S108" s="224">
        <f t="shared" si="29"/>
        <v>119</v>
      </c>
      <c r="T108" s="180">
        <f t="shared" si="30"/>
        <v>58</v>
      </c>
      <c r="U108" s="233">
        <v>4</v>
      </c>
      <c r="V108" s="232">
        <v>1</v>
      </c>
      <c r="W108" s="181">
        <f>I108+L108+O108+R108</f>
        <v>6</v>
      </c>
      <c r="X108" s="120"/>
    </row>
    <row r="109" spans="1:24" s="69" customFormat="1" ht="30.75" customHeight="1" x14ac:dyDescent="0.3">
      <c r="A109" s="7" t="s">
        <v>108</v>
      </c>
      <c r="B109" s="214">
        <v>86</v>
      </c>
      <c r="C109" s="215" t="s">
        <v>49</v>
      </c>
      <c r="D109" s="216" t="s">
        <v>285</v>
      </c>
      <c r="E109" s="259" t="s">
        <v>118</v>
      </c>
      <c r="F109" s="2" t="s">
        <v>107</v>
      </c>
      <c r="G109" s="5">
        <v>61</v>
      </c>
      <c r="H109" s="6">
        <v>35</v>
      </c>
      <c r="I109" s="7">
        <v>3</v>
      </c>
      <c r="J109" s="200">
        <v>48</v>
      </c>
      <c r="K109" s="7">
        <v>30</v>
      </c>
      <c r="L109" s="7">
        <v>2</v>
      </c>
      <c r="M109" s="5">
        <v>63</v>
      </c>
      <c r="N109" s="6">
        <v>26</v>
      </c>
      <c r="O109" s="7">
        <v>3</v>
      </c>
      <c r="P109" s="5">
        <v>65</v>
      </c>
      <c r="Q109" s="6">
        <v>26</v>
      </c>
      <c r="R109" s="7">
        <v>3</v>
      </c>
      <c r="S109" s="4">
        <f t="shared" si="29"/>
        <v>237</v>
      </c>
      <c r="T109" s="199">
        <f t="shared" si="30"/>
        <v>117</v>
      </c>
      <c r="U109" s="4">
        <v>23</v>
      </c>
      <c r="V109" s="6">
        <v>13</v>
      </c>
      <c r="W109" s="201">
        <f>I109+L109+O109+R109</f>
        <v>11</v>
      </c>
      <c r="X109" s="62"/>
    </row>
    <row r="110" spans="1:24" s="66" customFormat="1" ht="30.75" customHeight="1" x14ac:dyDescent="0.3">
      <c r="A110" s="236" t="s">
        <v>108</v>
      </c>
      <c r="B110" s="237">
        <v>87</v>
      </c>
      <c r="C110" s="217" t="s">
        <v>68</v>
      </c>
      <c r="D110" s="230" t="s">
        <v>286</v>
      </c>
      <c r="E110" s="231" t="s">
        <v>119</v>
      </c>
      <c r="F110" s="232" t="s">
        <v>105</v>
      </c>
      <c r="G110" s="233">
        <v>80</v>
      </c>
      <c r="H110" s="232">
        <v>34</v>
      </c>
      <c r="I110" s="234">
        <v>4</v>
      </c>
      <c r="J110" s="235">
        <v>72</v>
      </c>
      <c r="K110" s="234">
        <v>41</v>
      </c>
      <c r="L110" s="234">
        <v>3</v>
      </c>
      <c r="M110" s="233">
        <v>92</v>
      </c>
      <c r="N110" s="232">
        <v>51</v>
      </c>
      <c r="O110" s="234">
        <v>4</v>
      </c>
      <c r="P110" s="233">
        <v>72</v>
      </c>
      <c r="Q110" s="232">
        <v>40</v>
      </c>
      <c r="R110" s="234">
        <v>3</v>
      </c>
      <c r="S110" s="224">
        <f t="shared" si="29"/>
        <v>316</v>
      </c>
      <c r="T110" s="180">
        <f t="shared" si="30"/>
        <v>166</v>
      </c>
      <c r="U110" s="233">
        <v>29</v>
      </c>
      <c r="V110" s="232">
        <v>17</v>
      </c>
      <c r="W110" s="181">
        <f>I110+L110+O110+R110</f>
        <v>14</v>
      </c>
      <c r="X110" s="121"/>
    </row>
    <row r="111" spans="1:24" s="66" customFormat="1" ht="30" customHeight="1" thickBot="1" x14ac:dyDescent="0.35">
      <c r="A111" s="182" t="s">
        <v>108</v>
      </c>
      <c r="B111" s="360" t="s">
        <v>99</v>
      </c>
      <c r="C111" s="361"/>
      <c r="D111" s="361"/>
      <c r="E111" s="361"/>
      <c r="F111" s="362"/>
      <c r="G111" s="203">
        <f t="shared" ref="G111:H111" si="44">SUM(G106:G110)</f>
        <v>257</v>
      </c>
      <c r="H111" s="184">
        <f t="shared" si="44"/>
        <v>124</v>
      </c>
      <c r="I111" s="185">
        <f t="shared" ref="I111:W111" si="45">SUM(I106:I110)</f>
        <v>12</v>
      </c>
      <c r="J111" s="186">
        <v>244</v>
      </c>
      <c r="K111" s="185">
        <v>132</v>
      </c>
      <c r="L111" s="212">
        <f t="shared" si="45"/>
        <v>10</v>
      </c>
      <c r="M111" s="183">
        <f t="shared" si="45"/>
        <v>252</v>
      </c>
      <c r="N111" s="184">
        <f t="shared" si="45"/>
        <v>123</v>
      </c>
      <c r="O111" s="185">
        <f t="shared" si="45"/>
        <v>12</v>
      </c>
      <c r="P111" s="183">
        <f t="shared" si="45"/>
        <v>256</v>
      </c>
      <c r="Q111" s="184">
        <f t="shared" si="45"/>
        <v>126</v>
      </c>
      <c r="R111" s="185">
        <f t="shared" si="45"/>
        <v>12</v>
      </c>
      <c r="S111" s="206">
        <f t="shared" si="29"/>
        <v>1009</v>
      </c>
      <c r="T111" s="207">
        <f t="shared" si="30"/>
        <v>505</v>
      </c>
      <c r="U111" s="183">
        <f t="shared" si="45"/>
        <v>63</v>
      </c>
      <c r="V111" s="185">
        <f t="shared" si="45"/>
        <v>33</v>
      </c>
      <c r="W111" s="189">
        <f t="shared" si="45"/>
        <v>46</v>
      </c>
      <c r="X111" s="121"/>
    </row>
    <row r="112" spans="1:24" s="69" customFormat="1" ht="44.25" customHeight="1" x14ac:dyDescent="0.3">
      <c r="A112" s="7" t="s">
        <v>108</v>
      </c>
      <c r="B112" s="214">
        <v>91</v>
      </c>
      <c r="C112" s="215" t="s">
        <v>81</v>
      </c>
      <c r="D112" s="216" t="s">
        <v>277</v>
      </c>
      <c r="E112" s="217" t="s">
        <v>120</v>
      </c>
      <c r="F112" s="2" t="s">
        <v>107</v>
      </c>
      <c r="G112" s="5">
        <v>38</v>
      </c>
      <c r="H112" s="6">
        <v>15</v>
      </c>
      <c r="I112" s="7">
        <v>2</v>
      </c>
      <c r="J112" s="200">
        <v>34</v>
      </c>
      <c r="K112" s="7">
        <v>22</v>
      </c>
      <c r="L112" s="7">
        <v>2</v>
      </c>
      <c r="M112" s="5">
        <v>74</v>
      </c>
      <c r="N112" s="6">
        <v>37</v>
      </c>
      <c r="O112" s="7">
        <v>3</v>
      </c>
      <c r="P112" s="5">
        <v>50</v>
      </c>
      <c r="Q112" s="6">
        <v>27</v>
      </c>
      <c r="R112" s="7">
        <v>2</v>
      </c>
      <c r="S112" s="4">
        <f t="shared" si="29"/>
        <v>196</v>
      </c>
      <c r="T112" s="199">
        <f t="shared" si="30"/>
        <v>101</v>
      </c>
      <c r="U112" s="4">
        <v>116</v>
      </c>
      <c r="V112" s="6">
        <v>64</v>
      </c>
      <c r="W112" s="201">
        <f>I112+L112+O112+R112</f>
        <v>9</v>
      </c>
      <c r="X112" s="62"/>
    </row>
    <row r="113" spans="1:24" s="66" customFormat="1" ht="29.25" customHeight="1" x14ac:dyDescent="0.3">
      <c r="A113" s="3" t="s">
        <v>108</v>
      </c>
      <c r="B113" s="229">
        <v>95</v>
      </c>
      <c r="C113" s="231" t="s">
        <v>62</v>
      </c>
      <c r="D113" s="230" t="s">
        <v>270</v>
      </c>
      <c r="E113" s="231" t="s">
        <v>22</v>
      </c>
      <c r="F113" s="232" t="s">
        <v>105</v>
      </c>
      <c r="G113" s="233">
        <v>37</v>
      </c>
      <c r="H113" s="232">
        <v>13</v>
      </c>
      <c r="I113" s="234">
        <v>2</v>
      </c>
      <c r="J113" s="235">
        <v>50</v>
      </c>
      <c r="K113" s="234">
        <v>26</v>
      </c>
      <c r="L113" s="234">
        <v>2</v>
      </c>
      <c r="M113" s="233">
        <v>44</v>
      </c>
      <c r="N113" s="232">
        <v>21</v>
      </c>
      <c r="O113" s="234">
        <v>2</v>
      </c>
      <c r="P113" s="233">
        <v>45</v>
      </c>
      <c r="Q113" s="232">
        <v>26</v>
      </c>
      <c r="R113" s="234">
        <v>2</v>
      </c>
      <c r="S113" s="224">
        <f t="shared" si="29"/>
        <v>176</v>
      </c>
      <c r="T113" s="180">
        <f t="shared" si="30"/>
        <v>86</v>
      </c>
      <c r="U113" s="233">
        <v>8</v>
      </c>
      <c r="V113" s="232">
        <v>1</v>
      </c>
      <c r="W113" s="181">
        <f>I113+L113+O113+R113</f>
        <v>8</v>
      </c>
      <c r="X113" s="121"/>
    </row>
    <row r="114" spans="1:24" s="66" customFormat="1" ht="29.25" customHeight="1" x14ac:dyDescent="0.3">
      <c r="A114" s="236" t="s">
        <v>108</v>
      </c>
      <c r="B114" s="225">
        <v>96</v>
      </c>
      <c r="C114" s="217" t="s">
        <v>51</v>
      </c>
      <c r="D114" s="216" t="s">
        <v>287</v>
      </c>
      <c r="E114" s="217" t="s">
        <v>13</v>
      </c>
      <c r="F114" s="2" t="s">
        <v>105</v>
      </c>
      <c r="G114" s="1">
        <v>46</v>
      </c>
      <c r="H114" s="2">
        <v>20</v>
      </c>
      <c r="I114" s="3">
        <v>2</v>
      </c>
      <c r="J114" s="178">
        <v>43</v>
      </c>
      <c r="K114" s="3">
        <v>21</v>
      </c>
      <c r="L114" s="3">
        <v>2</v>
      </c>
      <c r="M114" s="1">
        <v>53</v>
      </c>
      <c r="N114" s="2">
        <v>24</v>
      </c>
      <c r="O114" s="3">
        <v>2</v>
      </c>
      <c r="P114" s="1">
        <v>57</v>
      </c>
      <c r="Q114" s="2">
        <v>31</v>
      </c>
      <c r="R114" s="3">
        <v>2</v>
      </c>
      <c r="S114" s="224">
        <f t="shared" si="29"/>
        <v>199</v>
      </c>
      <c r="T114" s="180">
        <f t="shared" si="30"/>
        <v>96</v>
      </c>
      <c r="U114" s="1">
        <v>9</v>
      </c>
      <c r="V114" s="2">
        <v>4</v>
      </c>
      <c r="W114" s="181">
        <f>I114+L114+O114+R114</f>
        <v>8</v>
      </c>
      <c r="X114" s="121"/>
    </row>
    <row r="115" spans="1:24" s="69" customFormat="1" ht="30" customHeight="1" x14ac:dyDescent="0.3">
      <c r="A115" s="7" t="s">
        <v>108</v>
      </c>
      <c r="B115" s="214">
        <v>96</v>
      </c>
      <c r="C115" s="215" t="s">
        <v>51</v>
      </c>
      <c r="D115" s="216" t="s">
        <v>288</v>
      </c>
      <c r="E115" s="217" t="s">
        <v>42</v>
      </c>
      <c r="F115" s="232" t="s">
        <v>107</v>
      </c>
      <c r="G115" s="238">
        <v>51</v>
      </c>
      <c r="H115" s="239">
        <v>24</v>
      </c>
      <c r="I115" s="240">
        <v>2</v>
      </c>
      <c r="J115" s="241">
        <v>44</v>
      </c>
      <c r="K115" s="240">
        <v>23</v>
      </c>
      <c r="L115" s="240">
        <v>2</v>
      </c>
      <c r="M115" s="238">
        <v>41</v>
      </c>
      <c r="N115" s="239">
        <v>23</v>
      </c>
      <c r="O115" s="240">
        <v>2</v>
      </c>
      <c r="P115" s="238">
        <v>28</v>
      </c>
      <c r="Q115" s="239">
        <v>15</v>
      </c>
      <c r="R115" s="240">
        <v>1</v>
      </c>
      <c r="S115" s="4">
        <f t="shared" si="29"/>
        <v>164</v>
      </c>
      <c r="T115" s="199">
        <f t="shared" si="30"/>
        <v>85</v>
      </c>
      <c r="U115" s="242">
        <v>40</v>
      </c>
      <c r="V115" s="239">
        <v>18</v>
      </c>
      <c r="W115" s="201">
        <f>I115+L115+O115+R115</f>
        <v>7</v>
      </c>
      <c r="X115" s="62"/>
    </row>
    <row r="116" spans="1:24" s="66" customFormat="1" ht="30.75" customHeight="1" x14ac:dyDescent="0.3">
      <c r="A116" s="236" t="s">
        <v>108</v>
      </c>
      <c r="B116" s="225">
        <v>97</v>
      </c>
      <c r="C116" s="217" t="s">
        <v>61</v>
      </c>
      <c r="D116" s="216" t="s">
        <v>289</v>
      </c>
      <c r="E116" s="217" t="s">
        <v>103</v>
      </c>
      <c r="F116" s="2" t="s">
        <v>105</v>
      </c>
      <c r="G116" s="1">
        <v>82</v>
      </c>
      <c r="H116" s="2">
        <v>35</v>
      </c>
      <c r="I116" s="3">
        <v>4</v>
      </c>
      <c r="J116" s="178">
        <v>104</v>
      </c>
      <c r="K116" s="3">
        <v>55</v>
      </c>
      <c r="L116" s="3">
        <v>4</v>
      </c>
      <c r="M116" s="1">
        <v>107</v>
      </c>
      <c r="N116" s="2">
        <v>59</v>
      </c>
      <c r="O116" s="3">
        <v>4</v>
      </c>
      <c r="P116" s="1">
        <v>110</v>
      </c>
      <c r="Q116" s="2">
        <v>46</v>
      </c>
      <c r="R116" s="3">
        <v>4</v>
      </c>
      <c r="S116" s="224">
        <f t="shared" si="29"/>
        <v>403</v>
      </c>
      <c r="T116" s="180">
        <f t="shared" si="30"/>
        <v>195</v>
      </c>
      <c r="U116" s="1">
        <v>30</v>
      </c>
      <c r="V116" s="2">
        <v>18</v>
      </c>
      <c r="W116" s="181">
        <f>I116+L116+O116+R116</f>
        <v>16</v>
      </c>
      <c r="X116" s="121"/>
    </row>
    <row r="117" spans="1:24" s="66" customFormat="1" ht="30" customHeight="1" x14ac:dyDescent="0.3">
      <c r="A117" s="3" t="s">
        <v>108</v>
      </c>
      <c r="B117" s="225">
        <v>98</v>
      </c>
      <c r="C117" s="217" t="s">
        <v>52</v>
      </c>
      <c r="D117" s="216" t="s">
        <v>290</v>
      </c>
      <c r="E117" s="217" t="s">
        <v>14</v>
      </c>
      <c r="F117" s="2" t="s">
        <v>105</v>
      </c>
      <c r="G117" s="1">
        <v>51</v>
      </c>
      <c r="H117" s="2">
        <v>22</v>
      </c>
      <c r="I117" s="3">
        <v>2</v>
      </c>
      <c r="J117" s="178">
        <v>72</v>
      </c>
      <c r="K117" s="3">
        <v>39</v>
      </c>
      <c r="L117" s="3">
        <v>3</v>
      </c>
      <c r="M117" s="1">
        <v>70</v>
      </c>
      <c r="N117" s="222">
        <v>39</v>
      </c>
      <c r="O117" s="211">
        <v>3</v>
      </c>
      <c r="P117" s="1">
        <v>55</v>
      </c>
      <c r="Q117" s="2">
        <v>25</v>
      </c>
      <c r="R117" s="3">
        <v>3</v>
      </c>
      <c r="S117" s="224">
        <f t="shared" si="29"/>
        <v>248</v>
      </c>
      <c r="T117" s="180">
        <f t="shared" si="30"/>
        <v>125</v>
      </c>
      <c r="U117" s="1">
        <v>6</v>
      </c>
      <c r="V117" s="2">
        <v>2</v>
      </c>
      <c r="W117" s="181">
        <f>I117+L117+O117+R117</f>
        <v>11</v>
      </c>
      <c r="X117" s="121"/>
    </row>
    <row r="118" spans="1:24" s="66" customFormat="1" ht="30" customHeight="1" x14ac:dyDescent="0.3">
      <c r="A118" s="243" t="s">
        <v>108</v>
      </c>
      <c r="B118" s="225">
        <v>98</v>
      </c>
      <c r="C118" s="244" t="s">
        <v>52</v>
      </c>
      <c r="D118" s="245" t="s">
        <v>291</v>
      </c>
      <c r="E118" s="217" t="s">
        <v>16</v>
      </c>
      <c r="F118" s="2" t="s">
        <v>105</v>
      </c>
      <c r="G118" s="1">
        <v>24</v>
      </c>
      <c r="H118" s="2">
        <v>13</v>
      </c>
      <c r="I118" s="3">
        <v>1</v>
      </c>
      <c r="J118" s="178">
        <v>29</v>
      </c>
      <c r="K118" s="3">
        <v>12</v>
      </c>
      <c r="L118" s="3">
        <v>1</v>
      </c>
      <c r="M118" s="1">
        <v>28</v>
      </c>
      <c r="N118" s="2">
        <v>12</v>
      </c>
      <c r="O118" s="3">
        <v>1</v>
      </c>
      <c r="P118" s="1">
        <v>25</v>
      </c>
      <c r="Q118" s="2">
        <v>14</v>
      </c>
      <c r="R118" s="3">
        <v>1</v>
      </c>
      <c r="S118" s="224">
        <f t="shared" si="29"/>
        <v>106</v>
      </c>
      <c r="T118" s="180">
        <f t="shared" si="30"/>
        <v>51</v>
      </c>
      <c r="U118" s="1">
        <v>2</v>
      </c>
      <c r="V118" s="2">
        <v>0</v>
      </c>
      <c r="W118" s="181">
        <f>I118+L118+O118+R118</f>
        <v>4</v>
      </c>
      <c r="X118" s="121"/>
    </row>
    <row r="119" spans="1:24" s="66" customFormat="1" ht="30" customHeight="1" thickBot="1" x14ac:dyDescent="0.35">
      <c r="A119" s="211" t="s">
        <v>108</v>
      </c>
      <c r="B119" s="360" t="s">
        <v>100</v>
      </c>
      <c r="C119" s="361"/>
      <c r="D119" s="361"/>
      <c r="E119" s="361"/>
      <c r="F119" s="362"/>
      <c r="G119" s="203">
        <f t="shared" ref="G119:H119" si="46">SUM(G112:G118)</f>
        <v>329</v>
      </c>
      <c r="H119" s="184">
        <f t="shared" si="46"/>
        <v>142</v>
      </c>
      <c r="I119" s="185">
        <f t="shared" ref="I119:W119" si="47">SUM(I112:I118)</f>
        <v>15</v>
      </c>
      <c r="J119" s="186">
        <v>376</v>
      </c>
      <c r="K119" s="185">
        <v>198</v>
      </c>
      <c r="L119" s="212">
        <f t="shared" si="47"/>
        <v>16</v>
      </c>
      <c r="M119" s="183">
        <f t="shared" si="47"/>
        <v>417</v>
      </c>
      <c r="N119" s="184">
        <f t="shared" si="47"/>
        <v>215</v>
      </c>
      <c r="O119" s="185">
        <f t="shared" si="47"/>
        <v>17</v>
      </c>
      <c r="P119" s="183">
        <f t="shared" si="47"/>
        <v>370</v>
      </c>
      <c r="Q119" s="184">
        <f t="shared" si="47"/>
        <v>184</v>
      </c>
      <c r="R119" s="185">
        <f t="shared" si="47"/>
        <v>15</v>
      </c>
      <c r="S119" s="206">
        <f t="shared" si="29"/>
        <v>1492</v>
      </c>
      <c r="T119" s="207">
        <f t="shared" si="30"/>
        <v>739</v>
      </c>
      <c r="U119" s="183">
        <f t="shared" si="47"/>
        <v>211</v>
      </c>
      <c r="V119" s="185">
        <f t="shared" si="47"/>
        <v>107</v>
      </c>
      <c r="W119" s="189">
        <f t="shared" si="47"/>
        <v>63</v>
      </c>
      <c r="X119" s="121"/>
    </row>
    <row r="120" spans="1:24" s="70" customFormat="1" ht="30.75" customHeight="1" thickBot="1" x14ac:dyDescent="0.35">
      <c r="A120" s="260" t="s">
        <v>108</v>
      </c>
      <c r="B120" s="363" t="s">
        <v>102</v>
      </c>
      <c r="C120" s="364"/>
      <c r="D120" s="364"/>
      <c r="E120" s="364"/>
      <c r="F120" s="365"/>
      <c r="G120" s="203">
        <f t="shared" ref="G120:H120" si="48">G83+G92+G99+G105+G111+G119</f>
        <v>2278</v>
      </c>
      <c r="H120" s="203">
        <f t="shared" si="48"/>
        <v>1048</v>
      </c>
      <c r="I120" s="246">
        <f t="shared" ref="I120:W120" si="49">I83+I92+I99+I105+I111+I119</f>
        <v>99.25</v>
      </c>
      <c r="J120" s="203">
        <v>2306</v>
      </c>
      <c r="K120" s="203">
        <v>1180</v>
      </c>
      <c r="L120" s="247">
        <f t="shared" si="49"/>
        <v>96.25</v>
      </c>
      <c r="M120" s="203">
        <f t="shared" si="49"/>
        <v>2386</v>
      </c>
      <c r="N120" s="203">
        <f t="shared" si="49"/>
        <v>1180</v>
      </c>
      <c r="O120" s="247">
        <f t="shared" si="49"/>
        <v>102.25</v>
      </c>
      <c r="P120" s="203">
        <f t="shared" si="49"/>
        <v>2253</v>
      </c>
      <c r="Q120" s="203">
        <f t="shared" si="49"/>
        <v>1132</v>
      </c>
      <c r="R120" s="247">
        <f t="shared" si="49"/>
        <v>100.25</v>
      </c>
      <c r="S120" s="206">
        <f t="shared" si="29"/>
        <v>9223</v>
      </c>
      <c r="T120" s="203">
        <f t="shared" si="30"/>
        <v>4540</v>
      </c>
      <c r="U120" s="203">
        <f t="shared" si="49"/>
        <v>715</v>
      </c>
      <c r="V120" s="206">
        <f t="shared" si="49"/>
        <v>344</v>
      </c>
      <c r="W120" s="248">
        <f t="shared" si="49"/>
        <v>398</v>
      </c>
      <c r="X120" s="122"/>
    </row>
    <row r="121" spans="1:24" s="65" customFormat="1" ht="45" customHeight="1" x14ac:dyDescent="0.3">
      <c r="A121" s="249" t="s">
        <v>127</v>
      </c>
      <c r="B121" s="250">
        <v>11</v>
      </c>
      <c r="C121" s="251" t="s">
        <v>48</v>
      </c>
      <c r="D121" s="252" t="s">
        <v>246</v>
      </c>
      <c r="E121" s="251" t="s">
        <v>129</v>
      </c>
      <c r="F121" s="249" t="s">
        <v>105</v>
      </c>
      <c r="G121" s="253">
        <v>33</v>
      </c>
      <c r="H121" s="254">
        <v>16</v>
      </c>
      <c r="I121" s="249">
        <v>1.25</v>
      </c>
      <c r="J121" s="255">
        <v>32</v>
      </c>
      <c r="K121" s="249">
        <v>15</v>
      </c>
      <c r="L121" s="249">
        <v>1.25</v>
      </c>
      <c r="M121" s="253">
        <v>33</v>
      </c>
      <c r="N121" s="254">
        <v>15</v>
      </c>
      <c r="O121" s="249">
        <v>1.25</v>
      </c>
      <c r="P121" s="253">
        <v>30</v>
      </c>
      <c r="Q121" s="254">
        <v>16</v>
      </c>
      <c r="R121" s="249">
        <v>1.25</v>
      </c>
      <c r="S121" s="256">
        <f t="shared" si="29"/>
        <v>128</v>
      </c>
      <c r="T121" s="257">
        <f t="shared" si="30"/>
        <v>62</v>
      </c>
      <c r="U121" s="261">
        <v>1</v>
      </c>
      <c r="V121" s="262">
        <v>1</v>
      </c>
      <c r="W121" s="226">
        <f>I121+L121+O121+R121</f>
        <v>5</v>
      </c>
      <c r="X121" s="120"/>
    </row>
    <row r="122" spans="1:24" s="66" customFormat="1" ht="31.95" customHeight="1" x14ac:dyDescent="0.3">
      <c r="A122" s="3" t="s">
        <v>127</v>
      </c>
      <c r="B122" s="175">
        <v>15</v>
      </c>
      <c r="C122" s="176" t="s">
        <v>64</v>
      </c>
      <c r="D122" s="177" t="s">
        <v>247</v>
      </c>
      <c r="E122" s="176" t="s">
        <v>24</v>
      </c>
      <c r="F122" s="3" t="s">
        <v>105</v>
      </c>
      <c r="G122" s="1">
        <v>37</v>
      </c>
      <c r="H122" s="2">
        <v>24</v>
      </c>
      <c r="I122" s="3">
        <v>2</v>
      </c>
      <c r="J122" s="178">
        <v>42</v>
      </c>
      <c r="K122" s="3">
        <v>22</v>
      </c>
      <c r="L122" s="3">
        <v>2</v>
      </c>
      <c r="M122" s="1">
        <v>41</v>
      </c>
      <c r="N122" s="2">
        <v>22</v>
      </c>
      <c r="O122" s="3">
        <v>2</v>
      </c>
      <c r="P122" s="1">
        <v>46</v>
      </c>
      <c r="Q122" s="2">
        <v>21</v>
      </c>
      <c r="R122" s="3">
        <v>2</v>
      </c>
      <c r="S122" s="179">
        <f t="shared" si="29"/>
        <v>166</v>
      </c>
      <c r="T122" s="180">
        <f t="shared" si="30"/>
        <v>89</v>
      </c>
      <c r="U122" s="263">
        <v>7</v>
      </c>
      <c r="V122" s="265">
        <v>3</v>
      </c>
      <c r="W122" s="181">
        <f>I122+L122+O122+R122</f>
        <v>8</v>
      </c>
      <c r="X122" s="121"/>
    </row>
    <row r="123" spans="1:24" s="66" customFormat="1" ht="31.95" customHeight="1" thickBot="1" x14ac:dyDescent="0.35">
      <c r="A123" s="182" t="s">
        <v>127</v>
      </c>
      <c r="B123" s="360" t="s">
        <v>92</v>
      </c>
      <c r="C123" s="361"/>
      <c r="D123" s="361"/>
      <c r="E123" s="361"/>
      <c r="F123" s="362"/>
      <c r="G123" s="183">
        <f t="shared" ref="G123:H123" si="50">SUM(G121:G122)</f>
        <v>70</v>
      </c>
      <c r="H123" s="184">
        <f t="shared" si="50"/>
        <v>40</v>
      </c>
      <c r="I123" s="185">
        <f t="shared" ref="I123:W123" si="51">SUM(I121:I122)</f>
        <v>3.25</v>
      </c>
      <c r="J123" s="186">
        <v>74</v>
      </c>
      <c r="K123" s="185">
        <v>37</v>
      </c>
      <c r="L123" s="185">
        <f t="shared" si="51"/>
        <v>3.25</v>
      </c>
      <c r="M123" s="183">
        <f t="shared" si="51"/>
        <v>74</v>
      </c>
      <c r="N123" s="184">
        <f t="shared" si="51"/>
        <v>37</v>
      </c>
      <c r="O123" s="185">
        <f t="shared" si="51"/>
        <v>3.25</v>
      </c>
      <c r="P123" s="183">
        <f t="shared" si="51"/>
        <v>76</v>
      </c>
      <c r="Q123" s="184">
        <f t="shared" si="51"/>
        <v>37</v>
      </c>
      <c r="R123" s="185">
        <f t="shared" si="51"/>
        <v>3.25</v>
      </c>
      <c r="S123" s="187">
        <f t="shared" si="29"/>
        <v>294</v>
      </c>
      <c r="T123" s="188">
        <f t="shared" si="30"/>
        <v>151</v>
      </c>
      <c r="U123" s="266">
        <f t="shared" si="51"/>
        <v>8</v>
      </c>
      <c r="V123" s="267">
        <f t="shared" si="51"/>
        <v>4</v>
      </c>
      <c r="W123" s="189">
        <f t="shared" si="51"/>
        <v>13</v>
      </c>
      <c r="X123" s="121"/>
    </row>
    <row r="124" spans="1:24" s="67" customFormat="1" ht="30" customHeight="1" x14ac:dyDescent="0.3">
      <c r="A124" s="190" t="s">
        <v>127</v>
      </c>
      <c r="B124" s="191">
        <v>22</v>
      </c>
      <c r="C124" s="192" t="s">
        <v>75</v>
      </c>
      <c r="D124" s="169" t="s">
        <v>248</v>
      </c>
      <c r="E124" s="192" t="s">
        <v>32</v>
      </c>
      <c r="F124" s="190" t="s">
        <v>106</v>
      </c>
      <c r="G124" s="193">
        <v>26</v>
      </c>
      <c r="H124" s="194">
        <v>12</v>
      </c>
      <c r="I124" s="190">
        <v>1</v>
      </c>
      <c r="J124" s="195">
        <v>39</v>
      </c>
      <c r="K124" s="190">
        <v>16</v>
      </c>
      <c r="L124" s="190">
        <v>2</v>
      </c>
      <c r="M124" s="193">
        <v>26</v>
      </c>
      <c r="N124" s="194">
        <v>10</v>
      </c>
      <c r="O124" s="190">
        <v>1</v>
      </c>
      <c r="P124" s="193">
        <v>23</v>
      </c>
      <c r="Q124" s="194">
        <v>8</v>
      </c>
      <c r="R124" s="190">
        <v>1</v>
      </c>
      <c r="S124" s="195">
        <f t="shared" si="29"/>
        <v>114</v>
      </c>
      <c r="T124" s="194">
        <f t="shared" si="30"/>
        <v>46</v>
      </c>
      <c r="U124" s="268">
        <v>21</v>
      </c>
      <c r="V124" s="269">
        <v>9</v>
      </c>
      <c r="W124" s="196">
        <f>I124+L124+O124+R124</f>
        <v>5</v>
      </c>
      <c r="X124" s="110"/>
    </row>
    <row r="125" spans="1:24" s="66" customFormat="1" ht="31.95" customHeight="1" x14ac:dyDescent="0.3">
      <c r="A125" s="3" t="s">
        <v>127</v>
      </c>
      <c r="B125" s="175">
        <v>24</v>
      </c>
      <c r="C125" s="176" t="s">
        <v>70</v>
      </c>
      <c r="D125" s="177" t="s">
        <v>249</v>
      </c>
      <c r="E125" s="176" t="s">
        <v>27</v>
      </c>
      <c r="F125" s="3" t="s">
        <v>105</v>
      </c>
      <c r="G125" s="1">
        <v>25</v>
      </c>
      <c r="H125" s="2">
        <v>10</v>
      </c>
      <c r="I125" s="3">
        <v>1</v>
      </c>
      <c r="J125" s="178">
        <v>26</v>
      </c>
      <c r="K125" s="3">
        <v>17</v>
      </c>
      <c r="L125" s="3">
        <v>1</v>
      </c>
      <c r="M125" s="1">
        <v>29</v>
      </c>
      <c r="N125" s="2">
        <v>10</v>
      </c>
      <c r="O125" s="3">
        <v>1</v>
      </c>
      <c r="P125" s="1">
        <v>28</v>
      </c>
      <c r="Q125" s="2">
        <v>15</v>
      </c>
      <c r="R125" s="3">
        <v>1</v>
      </c>
      <c r="S125" s="179">
        <f t="shared" si="29"/>
        <v>108</v>
      </c>
      <c r="T125" s="180">
        <f t="shared" si="30"/>
        <v>52</v>
      </c>
      <c r="U125" s="263">
        <v>7</v>
      </c>
      <c r="V125" s="265">
        <v>2</v>
      </c>
      <c r="W125" s="181">
        <f>I125+L125+O125+R125</f>
        <v>4</v>
      </c>
      <c r="X125" s="121"/>
    </row>
    <row r="126" spans="1:24" s="67" customFormat="1" ht="30" customHeight="1" x14ac:dyDescent="0.3">
      <c r="A126" s="7" t="s">
        <v>127</v>
      </c>
      <c r="B126" s="197">
        <v>25</v>
      </c>
      <c r="C126" s="198" t="s">
        <v>74</v>
      </c>
      <c r="D126" s="177" t="s">
        <v>250</v>
      </c>
      <c r="E126" s="176" t="s">
        <v>130</v>
      </c>
      <c r="F126" s="7" t="s">
        <v>106</v>
      </c>
      <c r="G126" s="4">
        <v>55</v>
      </c>
      <c r="H126" s="199">
        <v>34</v>
      </c>
      <c r="I126" s="7">
        <v>2</v>
      </c>
      <c r="J126" s="200">
        <v>42</v>
      </c>
      <c r="K126" s="7">
        <v>22</v>
      </c>
      <c r="L126" s="7">
        <v>2</v>
      </c>
      <c r="M126" s="4">
        <v>52</v>
      </c>
      <c r="N126" s="199">
        <v>34</v>
      </c>
      <c r="O126" s="7">
        <v>2</v>
      </c>
      <c r="P126" s="4">
        <v>51</v>
      </c>
      <c r="Q126" s="199">
        <v>24</v>
      </c>
      <c r="R126" s="7">
        <v>2</v>
      </c>
      <c r="S126" s="200">
        <f t="shared" si="29"/>
        <v>200</v>
      </c>
      <c r="T126" s="199">
        <f t="shared" si="30"/>
        <v>114</v>
      </c>
      <c r="U126" s="270">
        <v>1</v>
      </c>
      <c r="V126" s="271">
        <v>0</v>
      </c>
      <c r="W126" s="201">
        <f>I126+L126+O126+R126</f>
        <v>8</v>
      </c>
      <c r="X126" s="110"/>
    </row>
    <row r="127" spans="1:24" s="66" customFormat="1" ht="31.95" customHeight="1" x14ac:dyDescent="0.3">
      <c r="A127" s="3" t="s">
        <v>127</v>
      </c>
      <c r="B127" s="175">
        <v>27</v>
      </c>
      <c r="C127" s="176" t="s">
        <v>60</v>
      </c>
      <c r="D127" s="177" t="s">
        <v>251</v>
      </c>
      <c r="E127" s="176" t="s">
        <v>21</v>
      </c>
      <c r="F127" s="3" t="s">
        <v>105</v>
      </c>
      <c r="G127" s="1">
        <v>55</v>
      </c>
      <c r="H127" s="2">
        <v>27</v>
      </c>
      <c r="I127" s="3">
        <v>2</v>
      </c>
      <c r="J127" s="178">
        <v>54</v>
      </c>
      <c r="K127" s="3">
        <v>25</v>
      </c>
      <c r="L127" s="3">
        <v>2</v>
      </c>
      <c r="M127" s="1">
        <v>57</v>
      </c>
      <c r="N127" s="2">
        <v>30</v>
      </c>
      <c r="O127" s="3">
        <v>2</v>
      </c>
      <c r="P127" s="1">
        <v>52</v>
      </c>
      <c r="Q127" s="2">
        <v>27</v>
      </c>
      <c r="R127" s="3">
        <v>2</v>
      </c>
      <c r="S127" s="179">
        <f t="shared" si="29"/>
        <v>218</v>
      </c>
      <c r="T127" s="180">
        <f t="shared" si="30"/>
        <v>109</v>
      </c>
      <c r="U127" s="263">
        <v>9</v>
      </c>
      <c r="V127" s="265">
        <v>7</v>
      </c>
      <c r="W127" s="181">
        <f>I127+L127+O127+R127</f>
        <v>8</v>
      </c>
      <c r="X127" s="121"/>
    </row>
    <row r="128" spans="1:24" ht="30" customHeight="1" x14ac:dyDescent="0.3">
      <c r="A128" s="7" t="s">
        <v>127</v>
      </c>
      <c r="B128" s="197">
        <v>27</v>
      </c>
      <c r="C128" s="198" t="s">
        <v>60</v>
      </c>
      <c r="D128" s="177" t="s">
        <v>252</v>
      </c>
      <c r="E128" s="198" t="s">
        <v>33</v>
      </c>
      <c r="F128" s="7" t="s">
        <v>106</v>
      </c>
      <c r="G128" s="4">
        <v>43</v>
      </c>
      <c r="H128" s="199">
        <v>15</v>
      </c>
      <c r="I128" s="7">
        <v>2</v>
      </c>
      <c r="J128" s="200">
        <v>50</v>
      </c>
      <c r="K128" s="7">
        <v>27</v>
      </c>
      <c r="L128" s="7">
        <v>2</v>
      </c>
      <c r="M128" s="4">
        <v>34</v>
      </c>
      <c r="N128" s="199">
        <v>19</v>
      </c>
      <c r="O128" s="7">
        <v>2</v>
      </c>
      <c r="P128" s="4">
        <v>49</v>
      </c>
      <c r="Q128" s="199">
        <v>28</v>
      </c>
      <c r="R128" s="7">
        <v>2</v>
      </c>
      <c r="S128" s="200">
        <f t="shared" si="29"/>
        <v>176</v>
      </c>
      <c r="T128" s="199">
        <f t="shared" si="30"/>
        <v>89</v>
      </c>
      <c r="U128" s="270">
        <v>5</v>
      </c>
      <c r="V128" s="271">
        <v>5</v>
      </c>
      <c r="W128" s="201">
        <f>I128+L128+O128+R128</f>
        <v>8</v>
      </c>
    </row>
    <row r="129" spans="1:24" s="66" customFormat="1" ht="31.95" customHeight="1" thickBot="1" x14ac:dyDescent="0.35">
      <c r="A129" s="182" t="s">
        <v>127</v>
      </c>
      <c r="B129" s="360" t="s">
        <v>101</v>
      </c>
      <c r="C129" s="361"/>
      <c r="D129" s="361"/>
      <c r="E129" s="361"/>
      <c r="F129" s="362"/>
      <c r="G129" s="183">
        <f t="shared" ref="G129:H129" si="52">SUM(G124:G128)</f>
        <v>204</v>
      </c>
      <c r="H129" s="184">
        <f t="shared" si="52"/>
        <v>98</v>
      </c>
      <c r="I129" s="185">
        <f t="shared" ref="I129:W129" si="53">SUM(I124:I128)</f>
        <v>8</v>
      </c>
      <c r="J129" s="186">
        <v>211</v>
      </c>
      <c r="K129" s="185">
        <v>107</v>
      </c>
      <c r="L129" s="185">
        <f t="shared" si="53"/>
        <v>9</v>
      </c>
      <c r="M129" s="183">
        <f t="shared" si="53"/>
        <v>198</v>
      </c>
      <c r="N129" s="184">
        <f t="shared" si="53"/>
        <v>103</v>
      </c>
      <c r="O129" s="185">
        <f t="shared" si="53"/>
        <v>8</v>
      </c>
      <c r="P129" s="183">
        <f t="shared" si="53"/>
        <v>203</v>
      </c>
      <c r="Q129" s="184">
        <f t="shared" si="53"/>
        <v>102</v>
      </c>
      <c r="R129" s="185">
        <f t="shared" si="53"/>
        <v>8</v>
      </c>
      <c r="S129" s="187">
        <f t="shared" si="29"/>
        <v>816</v>
      </c>
      <c r="T129" s="188">
        <f t="shared" si="30"/>
        <v>410</v>
      </c>
      <c r="U129" s="266">
        <f t="shared" si="53"/>
        <v>43</v>
      </c>
      <c r="V129" s="267">
        <f t="shared" si="53"/>
        <v>23</v>
      </c>
      <c r="W129" s="189">
        <f t="shared" si="53"/>
        <v>33</v>
      </c>
      <c r="X129" s="121"/>
    </row>
    <row r="130" spans="1:24" s="69" customFormat="1" ht="30.75" customHeight="1" x14ac:dyDescent="0.3">
      <c r="A130" s="7" t="s">
        <v>127</v>
      </c>
      <c r="B130" s="197">
        <v>31</v>
      </c>
      <c r="C130" s="198" t="s">
        <v>79</v>
      </c>
      <c r="D130" s="177" t="s">
        <v>253</v>
      </c>
      <c r="E130" s="176" t="s">
        <v>36</v>
      </c>
      <c r="F130" s="3" t="s">
        <v>107</v>
      </c>
      <c r="G130" s="5">
        <v>51</v>
      </c>
      <c r="H130" s="6">
        <v>25</v>
      </c>
      <c r="I130" s="7">
        <v>2</v>
      </c>
      <c r="J130" s="200">
        <v>38</v>
      </c>
      <c r="K130" s="7">
        <v>17</v>
      </c>
      <c r="L130" s="7">
        <v>2</v>
      </c>
      <c r="M130" s="5">
        <v>36</v>
      </c>
      <c r="N130" s="6">
        <v>12</v>
      </c>
      <c r="O130" s="7">
        <v>2</v>
      </c>
      <c r="P130" s="5">
        <v>35</v>
      </c>
      <c r="Q130" s="6">
        <v>13</v>
      </c>
      <c r="R130" s="7">
        <v>2</v>
      </c>
      <c r="S130" s="200">
        <f t="shared" si="29"/>
        <v>160</v>
      </c>
      <c r="T130" s="199">
        <f t="shared" si="30"/>
        <v>67</v>
      </c>
      <c r="U130" s="270">
        <v>8</v>
      </c>
      <c r="V130" s="271">
        <v>2</v>
      </c>
      <c r="W130" s="201">
        <f>I130+L130+O130+R130</f>
        <v>8</v>
      </c>
      <c r="X130" s="62"/>
    </row>
    <row r="131" spans="1:24" s="69" customFormat="1" ht="30" customHeight="1" x14ac:dyDescent="0.3">
      <c r="A131" s="7" t="s">
        <v>127</v>
      </c>
      <c r="B131" s="197">
        <v>32</v>
      </c>
      <c r="C131" s="198" t="s">
        <v>85</v>
      </c>
      <c r="D131" s="177" t="s">
        <v>255</v>
      </c>
      <c r="E131" s="176" t="s">
        <v>137</v>
      </c>
      <c r="F131" s="3" t="s">
        <v>107</v>
      </c>
      <c r="G131" s="5">
        <v>71</v>
      </c>
      <c r="H131" s="6">
        <v>27</v>
      </c>
      <c r="I131" s="7">
        <v>3</v>
      </c>
      <c r="J131" s="200">
        <v>66</v>
      </c>
      <c r="K131" s="7">
        <v>33</v>
      </c>
      <c r="L131" s="7">
        <v>3</v>
      </c>
      <c r="M131" s="5">
        <v>73</v>
      </c>
      <c r="N131" s="6">
        <v>35</v>
      </c>
      <c r="O131" s="7">
        <v>3</v>
      </c>
      <c r="P131" s="5">
        <v>53</v>
      </c>
      <c r="Q131" s="6">
        <v>24</v>
      </c>
      <c r="R131" s="7">
        <v>2</v>
      </c>
      <c r="S131" s="200">
        <f t="shared" si="29"/>
        <v>263</v>
      </c>
      <c r="T131" s="199">
        <f t="shared" si="30"/>
        <v>119</v>
      </c>
      <c r="U131" s="270">
        <v>20</v>
      </c>
      <c r="V131" s="271">
        <v>5</v>
      </c>
      <c r="W131" s="201">
        <f>I131+L131+O131+R131</f>
        <v>11</v>
      </c>
      <c r="X131" s="62"/>
    </row>
    <row r="132" spans="1:24" s="66" customFormat="1" ht="31.95" customHeight="1" x14ac:dyDescent="0.3">
      <c r="A132" s="3" t="s">
        <v>127</v>
      </c>
      <c r="B132" s="175">
        <v>33</v>
      </c>
      <c r="C132" s="176" t="s">
        <v>57</v>
      </c>
      <c r="D132" s="177" t="s">
        <v>256</v>
      </c>
      <c r="E132" s="176" t="s">
        <v>18</v>
      </c>
      <c r="F132" s="3" t="s">
        <v>105</v>
      </c>
      <c r="G132" s="1">
        <v>42</v>
      </c>
      <c r="H132" s="2">
        <v>26</v>
      </c>
      <c r="I132" s="3">
        <v>2</v>
      </c>
      <c r="J132" s="178">
        <v>41</v>
      </c>
      <c r="K132" s="3">
        <v>18</v>
      </c>
      <c r="L132" s="3">
        <v>2</v>
      </c>
      <c r="M132" s="1">
        <v>26</v>
      </c>
      <c r="N132" s="2">
        <v>15</v>
      </c>
      <c r="O132" s="3">
        <v>1</v>
      </c>
      <c r="P132" s="1">
        <v>37</v>
      </c>
      <c r="Q132" s="2">
        <v>18</v>
      </c>
      <c r="R132" s="3">
        <v>2</v>
      </c>
      <c r="S132" s="179">
        <f t="shared" si="29"/>
        <v>146</v>
      </c>
      <c r="T132" s="180">
        <f t="shared" si="30"/>
        <v>77</v>
      </c>
      <c r="U132" s="263">
        <v>16</v>
      </c>
      <c r="V132" s="265">
        <v>6</v>
      </c>
      <c r="W132" s="181">
        <f>I132+L132+O132+R132</f>
        <v>7</v>
      </c>
      <c r="X132" s="121"/>
    </row>
    <row r="133" spans="1:24" s="66" customFormat="1" ht="31.95" customHeight="1" x14ac:dyDescent="0.3">
      <c r="A133" s="3" t="s">
        <v>127</v>
      </c>
      <c r="B133" s="175">
        <v>34</v>
      </c>
      <c r="C133" s="176" t="s">
        <v>54</v>
      </c>
      <c r="D133" s="177" t="s">
        <v>254</v>
      </c>
      <c r="E133" s="176" t="s">
        <v>15</v>
      </c>
      <c r="F133" s="3" t="s">
        <v>105</v>
      </c>
      <c r="G133" s="1">
        <v>51</v>
      </c>
      <c r="H133" s="2">
        <v>31</v>
      </c>
      <c r="I133" s="3">
        <v>2</v>
      </c>
      <c r="J133" s="178">
        <v>43</v>
      </c>
      <c r="K133" s="3">
        <v>17</v>
      </c>
      <c r="L133" s="3">
        <v>2</v>
      </c>
      <c r="M133" s="1">
        <v>66</v>
      </c>
      <c r="N133" s="2">
        <v>36</v>
      </c>
      <c r="O133" s="3">
        <v>3</v>
      </c>
      <c r="P133" s="1">
        <v>72</v>
      </c>
      <c r="Q133" s="2">
        <v>36</v>
      </c>
      <c r="R133" s="3">
        <v>3</v>
      </c>
      <c r="S133" s="179">
        <f t="shared" si="29"/>
        <v>232</v>
      </c>
      <c r="T133" s="180">
        <f t="shared" si="30"/>
        <v>120</v>
      </c>
      <c r="U133" s="263">
        <v>12</v>
      </c>
      <c r="V133" s="265">
        <v>5</v>
      </c>
      <c r="W133" s="181">
        <f>I133+L133+O133+R133</f>
        <v>10</v>
      </c>
      <c r="X133" s="121"/>
    </row>
    <row r="134" spans="1:24" s="66" customFormat="1" ht="31.95" customHeight="1" thickBot="1" x14ac:dyDescent="0.35">
      <c r="A134" s="182" t="s">
        <v>127</v>
      </c>
      <c r="B134" s="360" t="s">
        <v>93</v>
      </c>
      <c r="C134" s="361"/>
      <c r="D134" s="361"/>
      <c r="E134" s="361"/>
      <c r="F134" s="362"/>
      <c r="G134" s="203">
        <f t="shared" ref="G134:H134" si="54">SUM(G130:G133)</f>
        <v>215</v>
      </c>
      <c r="H134" s="184">
        <f t="shared" si="54"/>
        <v>109</v>
      </c>
      <c r="I134" s="185">
        <f t="shared" ref="I134:W134" si="55">SUM(I130:I133)</f>
        <v>9</v>
      </c>
      <c r="J134" s="186">
        <v>188</v>
      </c>
      <c r="K134" s="185">
        <v>85</v>
      </c>
      <c r="L134" s="185">
        <f t="shared" si="55"/>
        <v>9</v>
      </c>
      <c r="M134" s="183">
        <f t="shared" si="55"/>
        <v>201</v>
      </c>
      <c r="N134" s="184">
        <f t="shared" si="55"/>
        <v>98</v>
      </c>
      <c r="O134" s="185">
        <f t="shared" si="55"/>
        <v>9</v>
      </c>
      <c r="P134" s="183">
        <f t="shared" si="55"/>
        <v>197</v>
      </c>
      <c r="Q134" s="184">
        <f t="shared" si="55"/>
        <v>91</v>
      </c>
      <c r="R134" s="185">
        <f t="shared" si="55"/>
        <v>9</v>
      </c>
      <c r="S134" s="187">
        <f t="shared" si="29"/>
        <v>801</v>
      </c>
      <c r="T134" s="188">
        <f t="shared" si="30"/>
        <v>383</v>
      </c>
      <c r="U134" s="266">
        <f t="shared" si="55"/>
        <v>56</v>
      </c>
      <c r="V134" s="267">
        <f t="shared" si="55"/>
        <v>18</v>
      </c>
      <c r="W134" s="189">
        <f t="shared" si="55"/>
        <v>36</v>
      </c>
      <c r="X134" s="121"/>
    </row>
    <row r="135" spans="1:24" s="66" customFormat="1" ht="30" customHeight="1" x14ac:dyDescent="0.3">
      <c r="A135" s="3" t="s">
        <v>127</v>
      </c>
      <c r="B135" s="175">
        <v>45</v>
      </c>
      <c r="C135" s="176" t="s">
        <v>65</v>
      </c>
      <c r="D135" s="177" t="s">
        <v>257</v>
      </c>
      <c r="E135" s="176" t="s">
        <v>25</v>
      </c>
      <c r="F135" s="3" t="s">
        <v>105</v>
      </c>
      <c r="G135" s="1">
        <v>41</v>
      </c>
      <c r="H135" s="2">
        <v>16</v>
      </c>
      <c r="I135" s="3">
        <v>2</v>
      </c>
      <c r="J135" s="178">
        <v>41</v>
      </c>
      <c r="K135" s="3">
        <v>25</v>
      </c>
      <c r="L135" s="3">
        <v>2</v>
      </c>
      <c r="M135" s="1">
        <v>41</v>
      </c>
      <c r="N135" s="2">
        <v>22</v>
      </c>
      <c r="O135" s="3">
        <v>2</v>
      </c>
      <c r="P135" s="1">
        <v>39</v>
      </c>
      <c r="Q135" s="2">
        <v>20</v>
      </c>
      <c r="R135" s="3">
        <v>2</v>
      </c>
      <c r="S135" s="179">
        <f t="shared" si="29"/>
        <v>162</v>
      </c>
      <c r="T135" s="180">
        <f t="shared" si="30"/>
        <v>83</v>
      </c>
      <c r="U135" s="263">
        <v>10</v>
      </c>
      <c r="V135" s="265">
        <v>9</v>
      </c>
      <c r="W135" s="181">
        <f>I135+L135+O135+R135</f>
        <v>8</v>
      </c>
      <c r="X135" s="121"/>
    </row>
    <row r="136" spans="1:24" s="69" customFormat="1" ht="30" customHeight="1" x14ac:dyDescent="0.3">
      <c r="A136" s="7" t="s">
        <v>127</v>
      </c>
      <c r="B136" s="197">
        <v>45</v>
      </c>
      <c r="C136" s="198" t="s">
        <v>65</v>
      </c>
      <c r="D136" s="177" t="s">
        <v>258</v>
      </c>
      <c r="E136" s="176" t="s">
        <v>43</v>
      </c>
      <c r="F136" s="3" t="s">
        <v>107</v>
      </c>
      <c r="G136" s="5">
        <v>45</v>
      </c>
      <c r="H136" s="6">
        <v>24</v>
      </c>
      <c r="I136" s="7">
        <v>2</v>
      </c>
      <c r="J136" s="200">
        <v>42</v>
      </c>
      <c r="K136" s="7">
        <v>14</v>
      </c>
      <c r="L136" s="7">
        <v>2</v>
      </c>
      <c r="M136" s="5">
        <v>33</v>
      </c>
      <c r="N136" s="199">
        <v>20</v>
      </c>
      <c r="O136" s="7">
        <v>2</v>
      </c>
      <c r="P136" s="5">
        <v>43</v>
      </c>
      <c r="Q136" s="6">
        <v>20</v>
      </c>
      <c r="R136" s="7">
        <v>2</v>
      </c>
      <c r="S136" s="200">
        <f t="shared" ref="S136:S199" si="56">G136+J136+M136+P136</f>
        <v>163</v>
      </c>
      <c r="T136" s="199">
        <f t="shared" ref="T136:T199" si="57">H136+K136+N136+Q136</f>
        <v>78</v>
      </c>
      <c r="U136" s="270">
        <v>1</v>
      </c>
      <c r="V136" s="271">
        <v>1</v>
      </c>
      <c r="W136" s="201">
        <f>I136+L136+O136+R136</f>
        <v>8</v>
      </c>
      <c r="X136" s="62"/>
    </row>
    <row r="137" spans="1:24" s="66" customFormat="1" ht="30" customHeight="1" x14ac:dyDescent="0.3">
      <c r="A137" s="3" t="s">
        <v>127</v>
      </c>
      <c r="B137" s="175">
        <v>46</v>
      </c>
      <c r="C137" s="176" t="s">
        <v>73</v>
      </c>
      <c r="D137" s="177" t="s">
        <v>259</v>
      </c>
      <c r="E137" s="176" t="s">
        <v>30</v>
      </c>
      <c r="F137" s="3" t="s">
        <v>105</v>
      </c>
      <c r="G137" s="1">
        <v>76</v>
      </c>
      <c r="H137" s="2">
        <v>32</v>
      </c>
      <c r="I137" s="3">
        <v>3</v>
      </c>
      <c r="J137" s="178">
        <v>68</v>
      </c>
      <c r="K137" s="3">
        <v>41</v>
      </c>
      <c r="L137" s="3">
        <v>3</v>
      </c>
      <c r="M137" s="1">
        <v>67</v>
      </c>
      <c r="N137" s="2">
        <v>35</v>
      </c>
      <c r="O137" s="3">
        <v>3</v>
      </c>
      <c r="P137" s="1">
        <v>65</v>
      </c>
      <c r="Q137" s="2">
        <v>38</v>
      </c>
      <c r="R137" s="3">
        <v>3</v>
      </c>
      <c r="S137" s="179">
        <f t="shared" si="56"/>
        <v>276</v>
      </c>
      <c r="T137" s="180">
        <f t="shared" si="57"/>
        <v>146</v>
      </c>
      <c r="U137" s="263">
        <v>21</v>
      </c>
      <c r="V137" s="265">
        <v>6</v>
      </c>
      <c r="W137" s="181">
        <f>I137+L137+O137+R137</f>
        <v>12</v>
      </c>
      <c r="X137" s="121"/>
    </row>
    <row r="138" spans="1:24" s="66" customFormat="1" ht="30" customHeight="1" x14ac:dyDescent="0.3">
      <c r="A138" s="3" t="s">
        <v>127</v>
      </c>
      <c r="B138" s="175">
        <v>47</v>
      </c>
      <c r="C138" s="176" t="s">
        <v>53</v>
      </c>
      <c r="D138" s="177" t="s">
        <v>260</v>
      </c>
      <c r="E138" s="176" t="s">
        <v>133</v>
      </c>
      <c r="F138" s="3" t="s">
        <v>105</v>
      </c>
      <c r="G138" s="1">
        <v>54</v>
      </c>
      <c r="H138" s="2">
        <v>25</v>
      </c>
      <c r="I138" s="3">
        <v>2</v>
      </c>
      <c r="J138" s="178">
        <v>43</v>
      </c>
      <c r="K138" s="3">
        <v>16</v>
      </c>
      <c r="L138" s="3">
        <v>2</v>
      </c>
      <c r="M138" s="1">
        <v>34</v>
      </c>
      <c r="N138" s="2">
        <v>12</v>
      </c>
      <c r="O138" s="3">
        <v>2</v>
      </c>
      <c r="P138" s="1">
        <v>25</v>
      </c>
      <c r="Q138" s="2">
        <v>15</v>
      </c>
      <c r="R138" s="3">
        <v>1</v>
      </c>
      <c r="S138" s="179">
        <f t="shared" si="56"/>
        <v>156</v>
      </c>
      <c r="T138" s="180">
        <f t="shared" si="57"/>
        <v>68</v>
      </c>
      <c r="U138" s="263">
        <v>6</v>
      </c>
      <c r="V138" s="265">
        <v>2</v>
      </c>
      <c r="W138" s="181">
        <f>I138+L138+O138+R138</f>
        <v>7</v>
      </c>
      <c r="X138" s="121"/>
    </row>
    <row r="139" spans="1:24" s="66" customFormat="1" ht="30" customHeight="1" thickBot="1" x14ac:dyDescent="0.35">
      <c r="A139" s="211" t="s">
        <v>127</v>
      </c>
      <c r="B139" s="360" t="s">
        <v>94</v>
      </c>
      <c r="C139" s="361"/>
      <c r="D139" s="361"/>
      <c r="E139" s="361"/>
      <c r="F139" s="362"/>
      <c r="G139" s="203">
        <f t="shared" ref="G139:H139" si="58">SUM(G135:G138)</f>
        <v>216</v>
      </c>
      <c r="H139" s="184">
        <f t="shared" si="58"/>
        <v>97</v>
      </c>
      <c r="I139" s="185">
        <f t="shared" ref="I139:W139" si="59">SUM(I135:I138)</f>
        <v>9</v>
      </c>
      <c r="J139" s="186">
        <v>194</v>
      </c>
      <c r="K139" s="185">
        <v>96</v>
      </c>
      <c r="L139" s="185">
        <f t="shared" si="59"/>
        <v>9</v>
      </c>
      <c r="M139" s="183">
        <f t="shared" si="59"/>
        <v>175</v>
      </c>
      <c r="N139" s="184">
        <f t="shared" si="59"/>
        <v>89</v>
      </c>
      <c r="O139" s="185">
        <f t="shared" si="59"/>
        <v>9</v>
      </c>
      <c r="P139" s="183">
        <f t="shared" si="59"/>
        <v>172</v>
      </c>
      <c r="Q139" s="184">
        <f t="shared" si="59"/>
        <v>93</v>
      </c>
      <c r="R139" s="185">
        <f t="shared" si="59"/>
        <v>8</v>
      </c>
      <c r="S139" s="187">
        <f t="shared" si="56"/>
        <v>757</v>
      </c>
      <c r="T139" s="188">
        <f t="shared" si="57"/>
        <v>375</v>
      </c>
      <c r="U139" s="266">
        <f t="shared" si="59"/>
        <v>38</v>
      </c>
      <c r="V139" s="267">
        <f t="shared" si="59"/>
        <v>18</v>
      </c>
      <c r="W139" s="189">
        <f t="shared" si="59"/>
        <v>35</v>
      </c>
      <c r="X139" s="121"/>
    </row>
    <row r="140" spans="1:24" s="66" customFormat="1" ht="30" customHeight="1" thickBot="1" x14ac:dyDescent="0.35">
      <c r="A140" s="204" t="s">
        <v>127</v>
      </c>
      <c r="B140" s="363" t="s">
        <v>95</v>
      </c>
      <c r="C140" s="364"/>
      <c r="D140" s="364"/>
      <c r="E140" s="364"/>
      <c r="F140" s="365"/>
      <c r="G140" s="203">
        <f t="shared" ref="G140:H140" si="60">G123+G129+G134+G139</f>
        <v>705</v>
      </c>
      <c r="H140" s="184">
        <f t="shared" si="60"/>
        <v>344</v>
      </c>
      <c r="I140" s="185">
        <f t="shared" ref="I140:W140" si="61">I123+I129+I134+I139</f>
        <v>29.25</v>
      </c>
      <c r="J140" s="186">
        <v>667</v>
      </c>
      <c r="K140" s="185">
        <v>325</v>
      </c>
      <c r="L140" s="205">
        <f t="shared" si="61"/>
        <v>30.25</v>
      </c>
      <c r="M140" s="183">
        <f t="shared" si="61"/>
        <v>648</v>
      </c>
      <c r="N140" s="184">
        <f t="shared" si="61"/>
        <v>327</v>
      </c>
      <c r="O140" s="185">
        <f t="shared" si="61"/>
        <v>29.25</v>
      </c>
      <c r="P140" s="183">
        <f t="shared" si="61"/>
        <v>648</v>
      </c>
      <c r="Q140" s="184">
        <f t="shared" si="61"/>
        <v>323</v>
      </c>
      <c r="R140" s="185">
        <f t="shared" si="61"/>
        <v>28.25</v>
      </c>
      <c r="S140" s="206">
        <f t="shared" si="56"/>
        <v>2668</v>
      </c>
      <c r="T140" s="207">
        <f t="shared" si="57"/>
        <v>1319</v>
      </c>
      <c r="U140" s="266">
        <f t="shared" si="61"/>
        <v>145</v>
      </c>
      <c r="V140" s="267">
        <f t="shared" si="61"/>
        <v>63</v>
      </c>
      <c r="W140" s="189">
        <f t="shared" si="61"/>
        <v>117</v>
      </c>
      <c r="X140" s="121"/>
    </row>
    <row r="141" spans="1:24" s="66" customFormat="1" ht="31.95" customHeight="1" x14ac:dyDescent="0.3">
      <c r="A141" s="166" t="s">
        <v>127</v>
      </c>
      <c r="B141" s="175">
        <v>51</v>
      </c>
      <c r="C141" s="176" t="s">
        <v>66</v>
      </c>
      <c r="D141" s="177" t="s">
        <v>261</v>
      </c>
      <c r="E141" s="176" t="s">
        <v>26</v>
      </c>
      <c r="F141" s="3" t="s">
        <v>105</v>
      </c>
      <c r="G141" s="1">
        <v>70</v>
      </c>
      <c r="H141" s="2">
        <v>36</v>
      </c>
      <c r="I141" s="3">
        <v>3</v>
      </c>
      <c r="J141" s="178">
        <v>75</v>
      </c>
      <c r="K141" s="3">
        <v>30</v>
      </c>
      <c r="L141" s="3">
        <v>3</v>
      </c>
      <c r="M141" s="1">
        <v>76</v>
      </c>
      <c r="N141" s="2">
        <v>33</v>
      </c>
      <c r="O141" s="3">
        <v>3</v>
      </c>
      <c r="P141" s="1">
        <v>74</v>
      </c>
      <c r="Q141" s="2">
        <v>38</v>
      </c>
      <c r="R141" s="3">
        <v>3</v>
      </c>
      <c r="S141" s="179">
        <f t="shared" si="56"/>
        <v>295</v>
      </c>
      <c r="T141" s="180">
        <f t="shared" si="57"/>
        <v>137</v>
      </c>
      <c r="U141" s="263">
        <v>46</v>
      </c>
      <c r="V141" s="265">
        <v>17</v>
      </c>
      <c r="W141" s="181">
        <f>I141+L141+O141+R141</f>
        <v>12</v>
      </c>
      <c r="X141" s="121"/>
    </row>
    <row r="142" spans="1:24" s="69" customFormat="1" ht="30" customHeight="1" x14ac:dyDescent="0.3">
      <c r="A142" s="7" t="s">
        <v>127</v>
      </c>
      <c r="B142" s="197">
        <v>51</v>
      </c>
      <c r="C142" s="198" t="s">
        <v>66</v>
      </c>
      <c r="D142" s="177" t="s">
        <v>263</v>
      </c>
      <c r="E142" s="176" t="s">
        <v>41</v>
      </c>
      <c r="F142" s="3" t="s">
        <v>107</v>
      </c>
      <c r="G142" s="5">
        <v>63</v>
      </c>
      <c r="H142" s="6">
        <v>35</v>
      </c>
      <c r="I142" s="7">
        <v>3</v>
      </c>
      <c r="J142" s="200">
        <v>83</v>
      </c>
      <c r="K142" s="7">
        <v>30</v>
      </c>
      <c r="L142" s="7">
        <v>3</v>
      </c>
      <c r="M142" s="5">
        <v>86</v>
      </c>
      <c r="N142" s="6">
        <v>39</v>
      </c>
      <c r="O142" s="7">
        <v>3</v>
      </c>
      <c r="P142" s="5">
        <v>86</v>
      </c>
      <c r="Q142" s="6">
        <v>47</v>
      </c>
      <c r="R142" s="7">
        <v>3</v>
      </c>
      <c r="S142" s="200">
        <f t="shared" si="56"/>
        <v>318</v>
      </c>
      <c r="T142" s="199">
        <f t="shared" si="57"/>
        <v>151</v>
      </c>
      <c r="U142" s="270">
        <v>14</v>
      </c>
      <c r="V142" s="271">
        <v>5</v>
      </c>
      <c r="W142" s="201">
        <f>I142+L142+O142+R142</f>
        <v>12</v>
      </c>
      <c r="X142" s="62"/>
    </row>
    <row r="143" spans="1:24" s="69" customFormat="1" ht="30" customHeight="1" x14ac:dyDescent="0.3">
      <c r="A143" s="7" t="s">
        <v>127</v>
      </c>
      <c r="B143" s="197">
        <v>51</v>
      </c>
      <c r="C143" s="198" t="s">
        <v>66</v>
      </c>
      <c r="D143" s="177" t="s">
        <v>262</v>
      </c>
      <c r="E143" s="176" t="s">
        <v>135</v>
      </c>
      <c r="F143" s="3" t="s">
        <v>106</v>
      </c>
      <c r="G143" s="4">
        <v>111</v>
      </c>
      <c r="H143" s="199">
        <v>54</v>
      </c>
      <c r="I143" s="7">
        <v>4</v>
      </c>
      <c r="J143" s="200">
        <v>106</v>
      </c>
      <c r="K143" s="7">
        <v>55</v>
      </c>
      <c r="L143" s="7">
        <v>4</v>
      </c>
      <c r="M143" s="4">
        <v>107</v>
      </c>
      <c r="N143" s="199">
        <v>54</v>
      </c>
      <c r="O143" s="7">
        <v>4</v>
      </c>
      <c r="P143" s="4">
        <v>103</v>
      </c>
      <c r="Q143" s="199">
        <v>53</v>
      </c>
      <c r="R143" s="7">
        <v>4</v>
      </c>
      <c r="S143" s="200">
        <f t="shared" si="56"/>
        <v>427</v>
      </c>
      <c r="T143" s="199">
        <f t="shared" si="57"/>
        <v>216</v>
      </c>
      <c r="U143" s="270">
        <v>22</v>
      </c>
      <c r="V143" s="271">
        <v>11</v>
      </c>
      <c r="W143" s="201">
        <f>I143+L143+O143+R143</f>
        <v>16</v>
      </c>
      <c r="X143" s="62"/>
    </row>
    <row r="144" spans="1:24" s="66" customFormat="1" ht="30" customHeight="1" x14ac:dyDescent="0.3">
      <c r="A144" s="3" t="s">
        <v>127</v>
      </c>
      <c r="B144" s="175">
        <v>52</v>
      </c>
      <c r="C144" s="176" t="s">
        <v>72</v>
      </c>
      <c r="D144" s="177" t="s">
        <v>264</v>
      </c>
      <c r="E144" s="176" t="s">
        <v>29</v>
      </c>
      <c r="F144" s="3" t="s">
        <v>105</v>
      </c>
      <c r="G144" s="1">
        <v>52</v>
      </c>
      <c r="H144" s="2">
        <v>28</v>
      </c>
      <c r="I144" s="3">
        <v>2</v>
      </c>
      <c r="J144" s="178">
        <v>55</v>
      </c>
      <c r="K144" s="3">
        <v>25</v>
      </c>
      <c r="L144" s="3">
        <v>2</v>
      </c>
      <c r="M144" s="1">
        <v>52</v>
      </c>
      <c r="N144" s="2">
        <v>29</v>
      </c>
      <c r="O144" s="3">
        <v>2</v>
      </c>
      <c r="P144" s="1">
        <v>52</v>
      </c>
      <c r="Q144" s="2">
        <v>26</v>
      </c>
      <c r="R144" s="3">
        <v>2</v>
      </c>
      <c r="S144" s="179">
        <f t="shared" si="56"/>
        <v>211</v>
      </c>
      <c r="T144" s="180">
        <f t="shared" si="57"/>
        <v>108</v>
      </c>
      <c r="U144" s="263">
        <v>15</v>
      </c>
      <c r="V144" s="265">
        <v>13</v>
      </c>
      <c r="W144" s="181">
        <f>I144+L144+O144+R144</f>
        <v>8</v>
      </c>
      <c r="X144" s="121"/>
    </row>
    <row r="145" spans="1:24" s="69" customFormat="1" ht="30" customHeight="1" x14ac:dyDescent="0.3">
      <c r="A145" s="7" t="s">
        <v>127</v>
      </c>
      <c r="B145" s="197">
        <v>54</v>
      </c>
      <c r="C145" s="198" t="s">
        <v>89</v>
      </c>
      <c r="D145" s="177" t="s">
        <v>265</v>
      </c>
      <c r="E145" s="176" t="s">
        <v>111</v>
      </c>
      <c r="F145" s="3" t="s">
        <v>107</v>
      </c>
      <c r="G145" s="5">
        <v>38</v>
      </c>
      <c r="H145" s="6">
        <v>19</v>
      </c>
      <c r="I145" s="7">
        <v>2</v>
      </c>
      <c r="J145" s="200">
        <v>27</v>
      </c>
      <c r="K145" s="7">
        <v>15</v>
      </c>
      <c r="L145" s="7">
        <v>1</v>
      </c>
      <c r="M145" s="5">
        <v>43</v>
      </c>
      <c r="N145" s="6">
        <v>22</v>
      </c>
      <c r="O145" s="7">
        <v>2</v>
      </c>
      <c r="P145" s="5">
        <v>47</v>
      </c>
      <c r="Q145" s="6">
        <v>22</v>
      </c>
      <c r="R145" s="7">
        <v>2</v>
      </c>
      <c r="S145" s="200">
        <f t="shared" si="56"/>
        <v>155</v>
      </c>
      <c r="T145" s="199">
        <f t="shared" si="57"/>
        <v>78</v>
      </c>
      <c r="U145" s="270">
        <v>2</v>
      </c>
      <c r="V145" s="271">
        <v>1</v>
      </c>
      <c r="W145" s="201">
        <f>I145+L145+O145+R145</f>
        <v>7</v>
      </c>
      <c r="X145" s="62"/>
    </row>
    <row r="146" spans="1:24" s="69" customFormat="1" ht="30" customHeight="1" x14ac:dyDescent="0.3">
      <c r="A146" s="7" t="s">
        <v>127</v>
      </c>
      <c r="B146" s="197">
        <v>56</v>
      </c>
      <c r="C146" s="198" t="s">
        <v>83</v>
      </c>
      <c r="D146" s="177" t="s">
        <v>266</v>
      </c>
      <c r="E146" s="176" t="s">
        <v>38</v>
      </c>
      <c r="F146" s="3" t="s">
        <v>107</v>
      </c>
      <c r="G146" s="5">
        <v>72</v>
      </c>
      <c r="H146" s="6">
        <v>32</v>
      </c>
      <c r="I146" s="7">
        <v>3</v>
      </c>
      <c r="J146" s="200">
        <v>81</v>
      </c>
      <c r="K146" s="7">
        <v>35</v>
      </c>
      <c r="L146" s="7">
        <v>3</v>
      </c>
      <c r="M146" s="5">
        <v>75</v>
      </c>
      <c r="N146" s="6">
        <v>40</v>
      </c>
      <c r="O146" s="7">
        <v>3</v>
      </c>
      <c r="P146" s="5">
        <v>64</v>
      </c>
      <c r="Q146" s="6">
        <v>26</v>
      </c>
      <c r="R146" s="7">
        <v>3</v>
      </c>
      <c r="S146" s="200">
        <f t="shared" si="56"/>
        <v>292</v>
      </c>
      <c r="T146" s="199">
        <f t="shared" si="57"/>
        <v>133</v>
      </c>
      <c r="U146" s="270">
        <v>24</v>
      </c>
      <c r="V146" s="271">
        <v>10</v>
      </c>
      <c r="W146" s="201">
        <f>I146+L146+O146+R146</f>
        <v>12</v>
      </c>
      <c r="X146" s="62"/>
    </row>
    <row r="147" spans="1:24" s="66" customFormat="1" ht="30" customHeight="1" x14ac:dyDescent="0.3">
      <c r="A147" s="3" t="s">
        <v>127</v>
      </c>
      <c r="B147" s="175">
        <v>57</v>
      </c>
      <c r="C147" s="176" t="s">
        <v>63</v>
      </c>
      <c r="D147" s="177" t="s">
        <v>267</v>
      </c>
      <c r="E147" s="176" t="s">
        <v>23</v>
      </c>
      <c r="F147" s="3" t="s">
        <v>105</v>
      </c>
      <c r="G147" s="1">
        <v>103</v>
      </c>
      <c r="H147" s="2">
        <v>47</v>
      </c>
      <c r="I147" s="3">
        <v>4</v>
      </c>
      <c r="J147" s="178">
        <v>87</v>
      </c>
      <c r="K147" s="3">
        <v>41</v>
      </c>
      <c r="L147" s="3">
        <v>3</v>
      </c>
      <c r="M147" s="1">
        <v>81</v>
      </c>
      <c r="N147" s="2">
        <v>41</v>
      </c>
      <c r="O147" s="3">
        <v>3</v>
      </c>
      <c r="P147" s="1">
        <v>90</v>
      </c>
      <c r="Q147" s="2">
        <v>42</v>
      </c>
      <c r="R147" s="3">
        <v>4</v>
      </c>
      <c r="S147" s="179">
        <f t="shared" si="56"/>
        <v>361</v>
      </c>
      <c r="T147" s="180">
        <f t="shared" si="57"/>
        <v>171</v>
      </c>
      <c r="U147" s="263">
        <v>16</v>
      </c>
      <c r="V147" s="265">
        <v>7</v>
      </c>
      <c r="W147" s="181">
        <f>I147+L147+O147+R147</f>
        <v>14</v>
      </c>
      <c r="X147" s="121"/>
    </row>
    <row r="148" spans="1:24" s="65" customFormat="1" ht="34.5" customHeight="1" x14ac:dyDescent="0.3">
      <c r="A148" s="3" t="s">
        <v>127</v>
      </c>
      <c r="B148" s="208">
        <v>58</v>
      </c>
      <c r="C148" s="209" t="s">
        <v>50</v>
      </c>
      <c r="D148" s="210" t="s">
        <v>268</v>
      </c>
      <c r="E148" s="209" t="s">
        <v>12</v>
      </c>
      <c r="F148" s="211" t="s">
        <v>105</v>
      </c>
      <c r="G148" s="1">
        <v>44</v>
      </c>
      <c r="H148" s="2">
        <v>19</v>
      </c>
      <c r="I148" s="3">
        <v>2</v>
      </c>
      <c r="J148" s="178">
        <v>46</v>
      </c>
      <c r="K148" s="3">
        <v>17</v>
      </c>
      <c r="L148" s="3">
        <v>2</v>
      </c>
      <c r="M148" s="1">
        <v>50</v>
      </c>
      <c r="N148" s="2">
        <v>30</v>
      </c>
      <c r="O148" s="3">
        <v>2</v>
      </c>
      <c r="P148" s="1">
        <v>45</v>
      </c>
      <c r="Q148" s="2">
        <v>25</v>
      </c>
      <c r="R148" s="3">
        <v>2</v>
      </c>
      <c r="S148" s="179">
        <f t="shared" si="56"/>
        <v>185</v>
      </c>
      <c r="T148" s="180">
        <f t="shared" si="57"/>
        <v>91</v>
      </c>
      <c r="U148" s="263">
        <v>5</v>
      </c>
      <c r="V148" s="265">
        <v>5</v>
      </c>
      <c r="W148" s="181">
        <f>I148+L148+O148+R148</f>
        <v>8</v>
      </c>
      <c r="X148" s="120"/>
    </row>
    <row r="149" spans="1:24" s="66" customFormat="1" ht="30" customHeight="1" thickBot="1" x14ac:dyDescent="0.35">
      <c r="A149" s="182" t="s">
        <v>127</v>
      </c>
      <c r="B149" s="360" t="s">
        <v>96</v>
      </c>
      <c r="C149" s="361"/>
      <c r="D149" s="361"/>
      <c r="E149" s="361"/>
      <c r="F149" s="362"/>
      <c r="G149" s="203">
        <f t="shared" ref="G149:H149" si="62">SUM(G141:G148)</f>
        <v>553</v>
      </c>
      <c r="H149" s="184">
        <f t="shared" si="62"/>
        <v>270</v>
      </c>
      <c r="I149" s="185">
        <f t="shared" ref="I149:W149" si="63">SUM(I141:I148)</f>
        <v>23</v>
      </c>
      <c r="J149" s="186">
        <v>560</v>
      </c>
      <c r="K149" s="185">
        <v>248</v>
      </c>
      <c r="L149" s="212">
        <f t="shared" si="63"/>
        <v>21</v>
      </c>
      <c r="M149" s="183">
        <f t="shared" si="63"/>
        <v>570</v>
      </c>
      <c r="N149" s="184">
        <f t="shared" si="63"/>
        <v>288</v>
      </c>
      <c r="O149" s="185">
        <f t="shared" si="63"/>
        <v>22</v>
      </c>
      <c r="P149" s="183">
        <f t="shared" si="63"/>
        <v>561</v>
      </c>
      <c r="Q149" s="184">
        <f t="shared" si="63"/>
        <v>279</v>
      </c>
      <c r="R149" s="185">
        <f t="shared" si="63"/>
        <v>23</v>
      </c>
      <c r="S149" s="206">
        <f t="shared" si="56"/>
        <v>2244</v>
      </c>
      <c r="T149" s="207">
        <f t="shared" si="57"/>
        <v>1085</v>
      </c>
      <c r="U149" s="266">
        <f t="shared" si="63"/>
        <v>144</v>
      </c>
      <c r="V149" s="267">
        <f t="shared" si="63"/>
        <v>69</v>
      </c>
      <c r="W149" s="189">
        <f t="shared" si="63"/>
        <v>89</v>
      </c>
      <c r="X149" s="121"/>
    </row>
    <row r="150" spans="1:24" s="69" customFormat="1" ht="30" customHeight="1" x14ac:dyDescent="0.3">
      <c r="A150" s="213" t="s">
        <v>127</v>
      </c>
      <c r="B150" s="197">
        <v>61</v>
      </c>
      <c r="C150" s="198" t="s">
        <v>69</v>
      </c>
      <c r="D150" s="177" t="s">
        <v>269</v>
      </c>
      <c r="E150" s="176" t="s">
        <v>139</v>
      </c>
      <c r="F150" s="3" t="s">
        <v>106</v>
      </c>
      <c r="G150" s="4">
        <v>45</v>
      </c>
      <c r="H150" s="199">
        <v>18</v>
      </c>
      <c r="I150" s="7">
        <v>2</v>
      </c>
      <c r="J150" s="200">
        <v>38</v>
      </c>
      <c r="K150" s="7">
        <v>24</v>
      </c>
      <c r="L150" s="7">
        <v>2</v>
      </c>
      <c r="M150" s="4">
        <v>30</v>
      </c>
      <c r="N150" s="199">
        <v>15</v>
      </c>
      <c r="O150" s="7">
        <v>2</v>
      </c>
      <c r="P150" s="4">
        <v>40</v>
      </c>
      <c r="Q150" s="199">
        <v>21</v>
      </c>
      <c r="R150" s="7">
        <v>2</v>
      </c>
      <c r="S150" s="200">
        <f t="shared" si="56"/>
        <v>153</v>
      </c>
      <c r="T150" s="199">
        <f t="shared" si="57"/>
        <v>78</v>
      </c>
      <c r="U150" s="270">
        <v>37</v>
      </c>
      <c r="V150" s="271">
        <v>15</v>
      </c>
      <c r="W150" s="201">
        <f>I150+L150+O150+R150</f>
        <v>8</v>
      </c>
      <c r="X150" s="62"/>
    </row>
    <row r="151" spans="1:24" s="66" customFormat="1" ht="30" customHeight="1" x14ac:dyDescent="0.3">
      <c r="A151" s="166" t="s">
        <v>127</v>
      </c>
      <c r="B151" s="175">
        <v>61</v>
      </c>
      <c r="C151" s="176" t="s">
        <v>69</v>
      </c>
      <c r="D151" s="177" t="s">
        <v>271</v>
      </c>
      <c r="E151" s="176" t="s">
        <v>134</v>
      </c>
      <c r="F151" s="3" t="s">
        <v>105</v>
      </c>
      <c r="G151" s="1">
        <v>60</v>
      </c>
      <c r="H151" s="2">
        <v>26</v>
      </c>
      <c r="I151" s="3">
        <v>3</v>
      </c>
      <c r="J151" s="178">
        <v>82</v>
      </c>
      <c r="K151" s="3">
        <v>37</v>
      </c>
      <c r="L151" s="3">
        <v>3</v>
      </c>
      <c r="M151" s="1">
        <v>62</v>
      </c>
      <c r="N151" s="2">
        <v>33</v>
      </c>
      <c r="O151" s="3">
        <v>3</v>
      </c>
      <c r="P151" s="1">
        <v>61</v>
      </c>
      <c r="Q151" s="2">
        <v>30</v>
      </c>
      <c r="R151" s="3">
        <v>3</v>
      </c>
      <c r="S151" s="179">
        <f t="shared" si="56"/>
        <v>265</v>
      </c>
      <c r="T151" s="180">
        <f t="shared" si="57"/>
        <v>126</v>
      </c>
      <c r="U151" s="263">
        <v>24</v>
      </c>
      <c r="V151" s="265">
        <v>11</v>
      </c>
      <c r="W151" s="181">
        <f>I151+L151+O151+R151</f>
        <v>12</v>
      </c>
      <c r="X151" s="121"/>
    </row>
    <row r="152" spans="1:24" s="69" customFormat="1" ht="30" customHeight="1" x14ac:dyDescent="0.3">
      <c r="A152" s="190" t="s">
        <v>127</v>
      </c>
      <c r="B152" s="214">
        <v>62</v>
      </c>
      <c r="C152" s="215" t="s">
        <v>77</v>
      </c>
      <c r="D152" s="216" t="s">
        <v>272</v>
      </c>
      <c r="E152" s="217" t="s">
        <v>76</v>
      </c>
      <c r="F152" s="2" t="s">
        <v>106</v>
      </c>
      <c r="G152" s="4">
        <v>51</v>
      </c>
      <c r="H152" s="199">
        <v>28</v>
      </c>
      <c r="I152" s="7">
        <v>2</v>
      </c>
      <c r="J152" s="200">
        <v>50</v>
      </c>
      <c r="K152" s="199">
        <v>26</v>
      </c>
      <c r="L152" s="218">
        <v>2</v>
      </c>
      <c r="M152" s="4">
        <v>41</v>
      </c>
      <c r="N152" s="199">
        <v>26</v>
      </c>
      <c r="O152" s="7">
        <v>2</v>
      </c>
      <c r="P152" s="4">
        <v>58</v>
      </c>
      <c r="Q152" s="199">
        <v>30</v>
      </c>
      <c r="R152" s="7">
        <v>3</v>
      </c>
      <c r="S152" s="4">
        <f t="shared" si="56"/>
        <v>200</v>
      </c>
      <c r="T152" s="199">
        <f t="shared" si="57"/>
        <v>110</v>
      </c>
      <c r="U152" s="270">
        <v>8</v>
      </c>
      <c r="V152" s="271">
        <v>5</v>
      </c>
      <c r="W152" s="201">
        <f>I152+L152+O152+R152</f>
        <v>9</v>
      </c>
      <c r="X152" s="62"/>
    </row>
    <row r="153" spans="1:24" s="69" customFormat="1" ht="30" customHeight="1" x14ac:dyDescent="0.3">
      <c r="A153" s="7" t="s">
        <v>127</v>
      </c>
      <c r="B153" s="214">
        <v>63</v>
      </c>
      <c r="C153" s="215" t="s">
        <v>80</v>
      </c>
      <c r="D153" s="216" t="s">
        <v>273</v>
      </c>
      <c r="E153" s="217" t="s">
        <v>110</v>
      </c>
      <c r="F153" s="2" t="s">
        <v>107</v>
      </c>
      <c r="G153" s="5">
        <v>50</v>
      </c>
      <c r="H153" s="6">
        <v>22</v>
      </c>
      <c r="I153" s="7">
        <v>2</v>
      </c>
      <c r="J153" s="200">
        <v>45</v>
      </c>
      <c r="K153" s="199">
        <v>20</v>
      </c>
      <c r="L153" s="218">
        <v>2</v>
      </c>
      <c r="M153" s="5">
        <v>42</v>
      </c>
      <c r="N153" s="6">
        <v>20</v>
      </c>
      <c r="O153" s="7">
        <v>2</v>
      </c>
      <c r="P153" s="5">
        <v>45</v>
      </c>
      <c r="Q153" s="6">
        <v>24</v>
      </c>
      <c r="R153" s="7">
        <v>2</v>
      </c>
      <c r="S153" s="4">
        <f t="shared" si="56"/>
        <v>182</v>
      </c>
      <c r="T153" s="199">
        <f t="shared" si="57"/>
        <v>86</v>
      </c>
      <c r="U153" s="270">
        <v>12</v>
      </c>
      <c r="V153" s="271">
        <v>4</v>
      </c>
      <c r="W153" s="201">
        <f>I153+L153+O153+R153</f>
        <v>8</v>
      </c>
      <c r="X153" s="62"/>
    </row>
    <row r="154" spans="1:24" s="69" customFormat="1" ht="30" customHeight="1" x14ac:dyDescent="0.3">
      <c r="A154" s="7" t="s">
        <v>127</v>
      </c>
      <c r="B154" s="214">
        <v>63</v>
      </c>
      <c r="C154" s="215" t="s">
        <v>80</v>
      </c>
      <c r="D154" s="216" t="s">
        <v>274</v>
      </c>
      <c r="E154" s="217" t="s">
        <v>131</v>
      </c>
      <c r="F154" s="2" t="s">
        <v>107</v>
      </c>
      <c r="G154" s="5">
        <v>71</v>
      </c>
      <c r="H154" s="6">
        <v>44</v>
      </c>
      <c r="I154" s="7">
        <v>3</v>
      </c>
      <c r="J154" s="200">
        <v>63</v>
      </c>
      <c r="K154" s="199">
        <v>26</v>
      </c>
      <c r="L154" s="218">
        <v>3</v>
      </c>
      <c r="M154" s="5">
        <v>44</v>
      </c>
      <c r="N154" s="6">
        <v>26</v>
      </c>
      <c r="O154" s="7">
        <v>2</v>
      </c>
      <c r="P154" s="5">
        <v>58</v>
      </c>
      <c r="Q154" s="6">
        <v>26</v>
      </c>
      <c r="R154" s="7">
        <v>3</v>
      </c>
      <c r="S154" s="4">
        <f t="shared" si="56"/>
        <v>236</v>
      </c>
      <c r="T154" s="199">
        <f t="shared" si="57"/>
        <v>122</v>
      </c>
      <c r="U154" s="270">
        <v>62</v>
      </c>
      <c r="V154" s="271">
        <v>30</v>
      </c>
      <c r="W154" s="201">
        <f>I154+L154+O154+R154</f>
        <v>11</v>
      </c>
      <c r="X154" s="62"/>
    </row>
    <row r="155" spans="1:24" s="66" customFormat="1" ht="31.95" customHeight="1" x14ac:dyDescent="0.3">
      <c r="A155" s="3" t="s">
        <v>127</v>
      </c>
      <c r="B155" s="219">
        <v>68</v>
      </c>
      <c r="C155" s="220" t="s">
        <v>56</v>
      </c>
      <c r="D155" s="221" t="s">
        <v>275</v>
      </c>
      <c r="E155" s="220" t="s">
        <v>17</v>
      </c>
      <c r="F155" s="222" t="s">
        <v>105</v>
      </c>
      <c r="G155" s="1">
        <v>36</v>
      </c>
      <c r="H155" s="2">
        <v>15</v>
      </c>
      <c r="I155" s="3">
        <v>2</v>
      </c>
      <c r="J155" s="178">
        <v>26</v>
      </c>
      <c r="K155" s="2">
        <v>14</v>
      </c>
      <c r="L155" s="223">
        <v>1</v>
      </c>
      <c r="M155" s="1">
        <v>27</v>
      </c>
      <c r="N155" s="2">
        <v>15</v>
      </c>
      <c r="O155" s="3">
        <v>1</v>
      </c>
      <c r="P155" s="1">
        <v>23</v>
      </c>
      <c r="Q155" s="2">
        <v>8</v>
      </c>
      <c r="R155" s="3">
        <v>1</v>
      </c>
      <c r="S155" s="224">
        <f t="shared" si="56"/>
        <v>112</v>
      </c>
      <c r="T155" s="180">
        <f t="shared" si="57"/>
        <v>52</v>
      </c>
      <c r="U155" s="263">
        <v>2</v>
      </c>
      <c r="V155" s="265">
        <v>0</v>
      </c>
      <c r="W155" s="181">
        <f>I155+L155+O155+R155</f>
        <v>5</v>
      </c>
      <c r="X155" s="121"/>
    </row>
    <row r="156" spans="1:24" s="66" customFormat="1" ht="30" customHeight="1" thickBot="1" x14ac:dyDescent="0.35">
      <c r="A156" s="182" t="s">
        <v>127</v>
      </c>
      <c r="B156" s="360" t="s">
        <v>98</v>
      </c>
      <c r="C156" s="361"/>
      <c r="D156" s="361"/>
      <c r="E156" s="361"/>
      <c r="F156" s="362"/>
      <c r="G156" s="203">
        <f t="shared" ref="G156:H156" si="64">SUM(G150:G155)</f>
        <v>313</v>
      </c>
      <c r="H156" s="184">
        <f t="shared" si="64"/>
        <v>153</v>
      </c>
      <c r="I156" s="185">
        <f t="shared" ref="I156:W156" si="65">SUM(I150:I155)</f>
        <v>14</v>
      </c>
      <c r="J156" s="186">
        <v>304</v>
      </c>
      <c r="K156" s="184">
        <v>147</v>
      </c>
      <c r="L156" s="273">
        <f t="shared" si="65"/>
        <v>13</v>
      </c>
      <c r="M156" s="183">
        <f t="shared" si="65"/>
        <v>246</v>
      </c>
      <c r="N156" s="184">
        <f t="shared" si="65"/>
        <v>135</v>
      </c>
      <c r="O156" s="185">
        <f t="shared" si="65"/>
        <v>12</v>
      </c>
      <c r="P156" s="183">
        <f t="shared" si="65"/>
        <v>285</v>
      </c>
      <c r="Q156" s="184">
        <f t="shared" si="65"/>
        <v>139</v>
      </c>
      <c r="R156" s="185">
        <f t="shared" si="65"/>
        <v>14</v>
      </c>
      <c r="S156" s="206">
        <f t="shared" si="56"/>
        <v>1148</v>
      </c>
      <c r="T156" s="207">
        <f t="shared" si="57"/>
        <v>574</v>
      </c>
      <c r="U156" s="266">
        <f t="shared" si="65"/>
        <v>145</v>
      </c>
      <c r="V156" s="267">
        <f t="shared" si="65"/>
        <v>65</v>
      </c>
      <c r="W156" s="189">
        <f t="shared" si="65"/>
        <v>53</v>
      </c>
      <c r="X156" s="121"/>
    </row>
    <row r="157" spans="1:24" s="69" customFormat="1" ht="30" customHeight="1" x14ac:dyDescent="0.3">
      <c r="A157" s="7" t="s">
        <v>127</v>
      </c>
      <c r="B157" s="214">
        <v>71</v>
      </c>
      <c r="C157" s="215" t="s">
        <v>71</v>
      </c>
      <c r="D157" s="216" t="s">
        <v>276</v>
      </c>
      <c r="E157" s="217" t="s">
        <v>39</v>
      </c>
      <c r="F157" s="2" t="s">
        <v>107</v>
      </c>
      <c r="G157" s="5">
        <v>42</v>
      </c>
      <c r="H157" s="6">
        <v>17</v>
      </c>
      <c r="I157" s="7">
        <v>2</v>
      </c>
      <c r="J157" s="200">
        <v>43</v>
      </c>
      <c r="K157" s="199">
        <v>18</v>
      </c>
      <c r="L157" s="218">
        <v>2</v>
      </c>
      <c r="M157" s="5">
        <v>45</v>
      </c>
      <c r="N157" s="6">
        <v>21</v>
      </c>
      <c r="O157" s="7">
        <v>2</v>
      </c>
      <c r="P157" s="5">
        <v>47</v>
      </c>
      <c r="Q157" s="6">
        <v>17</v>
      </c>
      <c r="R157" s="7">
        <v>2</v>
      </c>
      <c r="S157" s="4">
        <f t="shared" si="56"/>
        <v>177</v>
      </c>
      <c r="T157" s="199">
        <f t="shared" si="57"/>
        <v>73</v>
      </c>
      <c r="U157" s="270">
        <v>2</v>
      </c>
      <c r="V157" s="271">
        <v>1</v>
      </c>
      <c r="W157" s="258">
        <f>I157+L157+O157+R157</f>
        <v>8</v>
      </c>
      <c r="X157" s="62"/>
    </row>
    <row r="158" spans="1:24" s="66" customFormat="1" ht="30" customHeight="1" x14ac:dyDescent="0.3">
      <c r="A158" s="3" t="s">
        <v>127</v>
      </c>
      <c r="B158" s="225">
        <v>71</v>
      </c>
      <c r="C158" s="217" t="s">
        <v>71</v>
      </c>
      <c r="D158" s="216" t="s">
        <v>278</v>
      </c>
      <c r="E158" s="217" t="s">
        <v>28</v>
      </c>
      <c r="F158" s="2" t="s">
        <v>105</v>
      </c>
      <c r="G158" s="1">
        <v>28</v>
      </c>
      <c r="H158" s="2">
        <v>9</v>
      </c>
      <c r="I158" s="3">
        <v>1</v>
      </c>
      <c r="J158" s="178">
        <v>24</v>
      </c>
      <c r="K158" s="2">
        <v>7</v>
      </c>
      <c r="L158" s="223">
        <v>1</v>
      </c>
      <c r="M158" s="1">
        <v>24</v>
      </c>
      <c r="N158" s="2">
        <v>13</v>
      </c>
      <c r="O158" s="3">
        <v>1</v>
      </c>
      <c r="P158" s="1">
        <v>33</v>
      </c>
      <c r="Q158" s="2">
        <v>14</v>
      </c>
      <c r="R158" s="3">
        <v>2</v>
      </c>
      <c r="S158" s="224">
        <f t="shared" si="56"/>
        <v>109</v>
      </c>
      <c r="T158" s="180">
        <f t="shared" si="57"/>
        <v>43</v>
      </c>
      <c r="U158" s="263">
        <v>0</v>
      </c>
      <c r="V158" s="265">
        <v>0</v>
      </c>
      <c r="W158" s="174">
        <f>I158+L158+O158+R158</f>
        <v>5</v>
      </c>
      <c r="X158" s="121"/>
    </row>
    <row r="159" spans="1:24" s="65" customFormat="1" ht="30" customHeight="1" thickBot="1" x14ac:dyDescent="0.35">
      <c r="A159" s="118" t="s">
        <v>127</v>
      </c>
      <c r="B159" s="214">
        <v>76</v>
      </c>
      <c r="C159" s="215" t="s">
        <v>78</v>
      </c>
      <c r="D159" s="216" t="s">
        <v>279</v>
      </c>
      <c r="E159" s="217" t="s">
        <v>128</v>
      </c>
      <c r="F159" s="2" t="s">
        <v>107</v>
      </c>
      <c r="G159" s="5">
        <v>27</v>
      </c>
      <c r="H159" s="6">
        <v>12</v>
      </c>
      <c r="I159" s="7">
        <v>1</v>
      </c>
      <c r="J159" s="200">
        <v>24</v>
      </c>
      <c r="K159" s="199">
        <v>11</v>
      </c>
      <c r="L159" s="218">
        <v>1</v>
      </c>
      <c r="M159" s="227">
        <v>26</v>
      </c>
      <c r="N159" s="6">
        <v>16</v>
      </c>
      <c r="O159" s="7">
        <v>1</v>
      </c>
      <c r="P159" s="5">
        <v>24</v>
      </c>
      <c r="Q159" s="6">
        <v>14</v>
      </c>
      <c r="R159" s="7">
        <v>1</v>
      </c>
      <c r="S159" s="4">
        <f t="shared" si="56"/>
        <v>101</v>
      </c>
      <c r="T159" s="199">
        <f t="shared" si="57"/>
        <v>53</v>
      </c>
      <c r="U159" s="270">
        <v>0</v>
      </c>
      <c r="V159" s="271">
        <v>0</v>
      </c>
      <c r="W159" s="201">
        <f>I159+L159+O159+R159</f>
        <v>4</v>
      </c>
      <c r="X159" s="120"/>
    </row>
    <row r="160" spans="1:24" s="66" customFormat="1" ht="30" customHeight="1" x14ac:dyDescent="0.3">
      <c r="A160" s="249" t="s">
        <v>127</v>
      </c>
      <c r="B160" s="225">
        <v>77</v>
      </c>
      <c r="C160" s="217" t="s">
        <v>59</v>
      </c>
      <c r="D160" s="216" t="s">
        <v>280</v>
      </c>
      <c r="E160" s="217" t="s">
        <v>20</v>
      </c>
      <c r="F160" s="2" t="s">
        <v>105</v>
      </c>
      <c r="G160" s="1">
        <v>47</v>
      </c>
      <c r="H160" s="2">
        <v>21</v>
      </c>
      <c r="I160" s="3">
        <v>2</v>
      </c>
      <c r="J160" s="178">
        <v>50</v>
      </c>
      <c r="K160" s="3">
        <v>24</v>
      </c>
      <c r="L160" s="3">
        <v>2</v>
      </c>
      <c r="M160" s="1">
        <v>50</v>
      </c>
      <c r="N160" s="2">
        <v>23</v>
      </c>
      <c r="O160" s="3">
        <v>2</v>
      </c>
      <c r="P160" s="1">
        <v>60</v>
      </c>
      <c r="Q160" s="2">
        <v>26</v>
      </c>
      <c r="R160" s="3">
        <v>2</v>
      </c>
      <c r="S160" s="224">
        <f t="shared" si="56"/>
        <v>207</v>
      </c>
      <c r="T160" s="180">
        <f t="shared" si="57"/>
        <v>94</v>
      </c>
      <c r="U160" s="263">
        <v>6</v>
      </c>
      <c r="V160" s="264">
        <v>2</v>
      </c>
      <c r="W160" s="181">
        <f>I160+L160+O160+R160</f>
        <v>8</v>
      </c>
      <c r="X160" s="121"/>
    </row>
    <row r="161" spans="1:24" s="69" customFormat="1" ht="30" customHeight="1" x14ac:dyDescent="0.3">
      <c r="A161" s="118" t="s">
        <v>127</v>
      </c>
      <c r="B161" s="228">
        <v>77</v>
      </c>
      <c r="C161" s="215" t="s">
        <v>59</v>
      </c>
      <c r="D161" s="216" t="s">
        <v>281</v>
      </c>
      <c r="E161" s="217" t="s">
        <v>40</v>
      </c>
      <c r="F161" s="2" t="s">
        <v>107</v>
      </c>
      <c r="G161" s="5">
        <v>48</v>
      </c>
      <c r="H161" s="6">
        <v>24</v>
      </c>
      <c r="I161" s="7">
        <v>2</v>
      </c>
      <c r="J161" s="200">
        <v>38</v>
      </c>
      <c r="K161" s="7">
        <v>19</v>
      </c>
      <c r="L161" s="7">
        <v>2</v>
      </c>
      <c r="M161" s="5">
        <v>25</v>
      </c>
      <c r="N161" s="6">
        <v>14</v>
      </c>
      <c r="O161" s="7">
        <v>1</v>
      </c>
      <c r="P161" s="5">
        <v>27</v>
      </c>
      <c r="Q161" s="6">
        <v>14</v>
      </c>
      <c r="R161" s="7">
        <v>1</v>
      </c>
      <c r="S161" s="4">
        <f t="shared" si="56"/>
        <v>138</v>
      </c>
      <c r="T161" s="199">
        <f t="shared" si="57"/>
        <v>71</v>
      </c>
      <c r="U161" s="270">
        <v>16</v>
      </c>
      <c r="V161" s="272">
        <v>9</v>
      </c>
      <c r="W161" s="201">
        <f>I161+L161+O161+R161</f>
        <v>6</v>
      </c>
      <c r="X161" s="62"/>
    </row>
    <row r="162" spans="1:24" s="66" customFormat="1" ht="30" customHeight="1" thickBot="1" x14ac:dyDescent="0.35">
      <c r="A162" s="182" t="s">
        <v>127</v>
      </c>
      <c r="B162" s="360" t="s">
        <v>97</v>
      </c>
      <c r="C162" s="361"/>
      <c r="D162" s="361"/>
      <c r="E162" s="361"/>
      <c r="F162" s="362"/>
      <c r="G162" s="203">
        <f t="shared" ref="G162:H162" si="66">SUM(G157:G161)</f>
        <v>192</v>
      </c>
      <c r="H162" s="184">
        <f t="shared" si="66"/>
        <v>83</v>
      </c>
      <c r="I162" s="185">
        <f t="shared" ref="I162:W162" si="67">SUM(I157:I161)</f>
        <v>8</v>
      </c>
      <c r="J162" s="186">
        <v>179</v>
      </c>
      <c r="K162" s="185">
        <v>79</v>
      </c>
      <c r="L162" s="212">
        <f t="shared" si="67"/>
        <v>8</v>
      </c>
      <c r="M162" s="183">
        <f t="shared" si="67"/>
        <v>170</v>
      </c>
      <c r="N162" s="184">
        <f t="shared" si="67"/>
        <v>87</v>
      </c>
      <c r="O162" s="185">
        <f t="shared" si="67"/>
        <v>7</v>
      </c>
      <c r="P162" s="183">
        <f t="shared" si="67"/>
        <v>191</v>
      </c>
      <c r="Q162" s="184">
        <f t="shared" si="67"/>
        <v>85</v>
      </c>
      <c r="R162" s="185">
        <f t="shared" si="67"/>
        <v>8</v>
      </c>
      <c r="S162" s="206">
        <f t="shared" si="56"/>
        <v>732</v>
      </c>
      <c r="T162" s="207">
        <f t="shared" si="57"/>
        <v>334</v>
      </c>
      <c r="U162" s="266">
        <f t="shared" si="67"/>
        <v>24</v>
      </c>
      <c r="V162" s="267">
        <f t="shared" si="67"/>
        <v>12</v>
      </c>
      <c r="W162" s="189">
        <f t="shared" si="67"/>
        <v>31</v>
      </c>
      <c r="X162" s="121"/>
    </row>
    <row r="163" spans="1:24" s="66" customFormat="1" ht="30" customHeight="1" x14ac:dyDescent="0.3">
      <c r="A163" s="3" t="s">
        <v>127</v>
      </c>
      <c r="B163" s="225">
        <v>82</v>
      </c>
      <c r="C163" s="217" t="s">
        <v>58</v>
      </c>
      <c r="D163" s="216" t="s">
        <v>282</v>
      </c>
      <c r="E163" s="217" t="s">
        <v>19</v>
      </c>
      <c r="F163" s="2" t="s">
        <v>105</v>
      </c>
      <c r="G163" s="1">
        <v>77</v>
      </c>
      <c r="H163" s="2">
        <v>37</v>
      </c>
      <c r="I163" s="3">
        <v>3</v>
      </c>
      <c r="J163" s="178">
        <v>80</v>
      </c>
      <c r="K163" s="3">
        <v>41</v>
      </c>
      <c r="L163" s="3">
        <v>3</v>
      </c>
      <c r="M163" s="1">
        <v>81</v>
      </c>
      <c r="N163" s="2">
        <v>44</v>
      </c>
      <c r="O163" s="3">
        <v>3</v>
      </c>
      <c r="P163" s="1">
        <v>49</v>
      </c>
      <c r="Q163" s="2">
        <v>24</v>
      </c>
      <c r="R163" s="3">
        <v>2</v>
      </c>
      <c r="S163" s="224">
        <f t="shared" si="56"/>
        <v>287</v>
      </c>
      <c r="T163" s="180">
        <f t="shared" si="57"/>
        <v>146</v>
      </c>
      <c r="U163" s="263">
        <v>7</v>
      </c>
      <c r="V163" s="264">
        <v>2</v>
      </c>
      <c r="W163" s="181">
        <f>I163+L163+O163+R163</f>
        <v>11</v>
      </c>
      <c r="X163" s="121"/>
    </row>
    <row r="164" spans="1:24" s="69" customFormat="1" ht="30" customHeight="1" x14ac:dyDescent="0.3">
      <c r="A164" s="118" t="s">
        <v>127</v>
      </c>
      <c r="B164" s="214">
        <v>82</v>
      </c>
      <c r="C164" s="217" t="s">
        <v>58</v>
      </c>
      <c r="D164" s="216" t="s">
        <v>283</v>
      </c>
      <c r="E164" s="215" t="s">
        <v>34</v>
      </c>
      <c r="F164" s="199" t="s">
        <v>106</v>
      </c>
      <c r="G164" s="4">
        <v>14</v>
      </c>
      <c r="H164" s="199">
        <v>7</v>
      </c>
      <c r="I164" s="7">
        <v>1</v>
      </c>
      <c r="J164" s="200">
        <v>17</v>
      </c>
      <c r="K164" s="7">
        <v>4</v>
      </c>
      <c r="L164" s="7">
        <v>1</v>
      </c>
      <c r="M164" s="4">
        <v>14</v>
      </c>
      <c r="N164" s="199">
        <v>3</v>
      </c>
      <c r="O164" s="7">
        <v>1</v>
      </c>
      <c r="P164" s="4">
        <v>24</v>
      </c>
      <c r="Q164" s="199">
        <v>13</v>
      </c>
      <c r="R164" s="7">
        <v>1</v>
      </c>
      <c r="S164" s="4">
        <f t="shared" si="56"/>
        <v>69</v>
      </c>
      <c r="T164" s="199">
        <f t="shared" si="57"/>
        <v>27</v>
      </c>
      <c r="U164" s="270">
        <v>7</v>
      </c>
      <c r="V164" s="272">
        <v>2</v>
      </c>
      <c r="W164" s="201">
        <f>I164+L164+O164+R164</f>
        <v>4</v>
      </c>
      <c r="X164" s="62"/>
    </row>
    <row r="165" spans="1:24" s="65" customFormat="1" ht="30" customHeight="1" x14ac:dyDescent="0.3">
      <c r="A165" s="3" t="s">
        <v>127</v>
      </c>
      <c r="B165" s="229">
        <v>86</v>
      </c>
      <c r="C165" s="217" t="s">
        <v>49</v>
      </c>
      <c r="D165" s="230" t="s">
        <v>284</v>
      </c>
      <c r="E165" s="231" t="s">
        <v>11</v>
      </c>
      <c r="F165" s="232" t="s">
        <v>105</v>
      </c>
      <c r="G165" s="233">
        <v>28</v>
      </c>
      <c r="H165" s="232">
        <v>11</v>
      </c>
      <c r="I165" s="234">
        <v>1</v>
      </c>
      <c r="J165" s="235">
        <v>20</v>
      </c>
      <c r="K165" s="234">
        <v>9</v>
      </c>
      <c r="L165" s="234">
        <v>1</v>
      </c>
      <c r="M165" s="233">
        <v>26</v>
      </c>
      <c r="N165" s="232">
        <v>12</v>
      </c>
      <c r="O165" s="234">
        <v>1</v>
      </c>
      <c r="P165" s="233">
        <v>32</v>
      </c>
      <c r="Q165" s="232">
        <v>13</v>
      </c>
      <c r="R165" s="234">
        <v>2</v>
      </c>
      <c r="S165" s="224">
        <f t="shared" si="56"/>
        <v>106</v>
      </c>
      <c r="T165" s="180">
        <f t="shared" si="57"/>
        <v>45</v>
      </c>
      <c r="U165" s="274">
        <v>1</v>
      </c>
      <c r="V165" s="275">
        <v>0</v>
      </c>
      <c r="W165" s="181">
        <f>I165+L165+O165+R165</f>
        <v>5</v>
      </c>
      <c r="X165" s="120"/>
    </row>
    <row r="166" spans="1:24" s="69" customFormat="1" ht="30" customHeight="1" x14ac:dyDescent="0.3">
      <c r="A166" s="7" t="s">
        <v>127</v>
      </c>
      <c r="B166" s="214">
        <v>86</v>
      </c>
      <c r="C166" s="215" t="s">
        <v>49</v>
      </c>
      <c r="D166" s="216" t="s">
        <v>285</v>
      </c>
      <c r="E166" s="259" t="s">
        <v>37</v>
      </c>
      <c r="F166" s="2" t="s">
        <v>107</v>
      </c>
      <c r="G166" s="5">
        <v>59</v>
      </c>
      <c r="H166" s="6">
        <v>28</v>
      </c>
      <c r="I166" s="7">
        <v>3</v>
      </c>
      <c r="J166" s="200">
        <v>57</v>
      </c>
      <c r="K166" s="7">
        <v>31</v>
      </c>
      <c r="L166" s="7">
        <v>3</v>
      </c>
      <c r="M166" s="5">
        <v>53</v>
      </c>
      <c r="N166" s="6">
        <v>34</v>
      </c>
      <c r="O166" s="7">
        <v>2</v>
      </c>
      <c r="P166" s="5">
        <v>60</v>
      </c>
      <c r="Q166" s="6">
        <v>24</v>
      </c>
      <c r="R166" s="7">
        <v>3</v>
      </c>
      <c r="S166" s="4">
        <f t="shared" si="56"/>
        <v>229</v>
      </c>
      <c r="T166" s="199">
        <f t="shared" si="57"/>
        <v>117</v>
      </c>
      <c r="U166" s="270">
        <v>21</v>
      </c>
      <c r="V166" s="272">
        <v>9</v>
      </c>
      <c r="W166" s="201">
        <f>I166+L166+O166+R166</f>
        <v>11</v>
      </c>
      <c r="X166" s="62"/>
    </row>
    <row r="167" spans="1:24" s="66" customFormat="1" ht="30" customHeight="1" x14ac:dyDescent="0.3">
      <c r="A167" s="236" t="s">
        <v>127</v>
      </c>
      <c r="B167" s="237">
        <v>87</v>
      </c>
      <c r="C167" s="217" t="s">
        <v>68</v>
      </c>
      <c r="D167" s="230" t="s">
        <v>286</v>
      </c>
      <c r="E167" s="231" t="s">
        <v>132</v>
      </c>
      <c r="F167" s="232" t="s">
        <v>105</v>
      </c>
      <c r="G167" s="233">
        <v>94</v>
      </c>
      <c r="H167" s="232">
        <v>41</v>
      </c>
      <c r="I167" s="234">
        <v>4</v>
      </c>
      <c r="J167" s="235">
        <v>81</v>
      </c>
      <c r="K167" s="234">
        <v>35</v>
      </c>
      <c r="L167" s="234">
        <v>4</v>
      </c>
      <c r="M167" s="233">
        <v>76</v>
      </c>
      <c r="N167" s="232">
        <v>44</v>
      </c>
      <c r="O167" s="234">
        <v>3</v>
      </c>
      <c r="P167" s="233">
        <v>91</v>
      </c>
      <c r="Q167" s="232">
        <v>50</v>
      </c>
      <c r="R167" s="234">
        <v>4</v>
      </c>
      <c r="S167" s="224">
        <f t="shared" si="56"/>
        <v>342</v>
      </c>
      <c r="T167" s="180">
        <f t="shared" si="57"/>
        <v>170</v>
      </c>
      <c r="U167" s="274">
        <v>21</v>
      </c>
      <c r="V167" s="275">
        <v>11</v>
      </c>
      <c r="W167" s="181">
        <f>I167+L167+O167+R167</f>
        <v>15</v>
      </c>
      <c r="X167" s="121"/>
    </row>
    <row r="168" spans="1:24" s="66" customFormat="1" ht="30" customHeight="1" thickBot="1" x14ac:dyDescent="0.35">
      <c r="A168" s="182" t="s">
        <v>127</v>
      </c>
      <c r="B168" s="360" t="s">
        <v>99</v>
      </c>
      <c r="C168" s="361"/>
      <c r="D168" s="361"/>
      <c r="E168" s="361"/>
      <c r="F168" s="362"/>
      <c r="G168" s="203">
        <f t="shared" ref="G168:H168" si="68">SUM(G163:G167)</f>
        <v>272</v>
      </c>
      <c r="H168" s="184">
        <f t="shared" si="68"/>
        <v>124</v>
      </c>
      <c r="I168" s="185">
        <f t="shared" ref="I168:W168" si="69">SUM(I163:I167)</f>
        <v>12</v>
      </c>
      <c r="J168" s="186">
        <v>255</v>
      </c>
      <c r="K168" s="185">
        <v>120</v>
      </c>
      <c r="L168" s="212">
        <f t="shared" si="69"/>
        <v>12</v>
      </c>
      <c r="M168" s="183">
        <f t="shared" si="69"/>
        <v>250</v>
      </c>
      <c r="N168" s="184">
        <f t="shared" si="69"/>
        <v>137</v>
      </c>
      <c r="O168" s="185">
        <f t="shared" si="69"/>
        <v>10</v>
      </c>
      <c r="P168" s="183">
        <f t="shared" si="69"/>
        <v>256</v>
      </c>
      <c r="Q168" s="184">
        <f t="shared" si="69"/>
        <v>124</v>
      </c>
      <c r="R168" s="185">
        <f t="shared" si="69"/>
        <v>12</v>
      </c>
      <c r="S168" s="206">
        <f t="shared" si="56"/>
        <v>1033</v>
      </c>
      <c r="T168" s="207">
        <f t="shared" si="57"/>
        <v>505</v>
      </c>
      <c r="U168" s="266">
        <f t="shared" si="69"/>
        <v>57</v>
      </c>
      <c r="V168" s="267">
        <f t="shared" si="69"/>
        <v>24</v>
      </c>
      <c r="W168" s="189">
        <f t="shared" si="69"/>
        <v>46</v>
      </c>
      <c r="X168" s="121"/>
    </row>
    <row r="169" spans="1:24" s="69" customFormat="1" ht="30" customHeight="1" x14ac:dyDescent="0.3">
      <c r="A169" s="7" t="s">
        <v>127</v>
      </c>
      <c r="B169" s="214">
        <v>91</v>
      </c>
      <c r="C169" s="215" t="s">
        <v>81</v>
      </c>
      <c r="D169" s="216" t="s">
        <v>277</v>
      </c>
      <c r="E169" s="217" t="s">
        <v>136</v>
      </c>
      <c r="F169" s="2" t="s">
        <v>107</v>
      </c>
      <c r="G169" s="5">
        <v>40</v>
      </c>
      <c r="H169" s="6">
        <v>14</v>
      </c>
      <c r="I169" s="7">
        <v>2</v>
      </c>
      <c r="J169" s="200">
        <v>54</v>
      </c>
      <c r="K169" s="7">
        <v>24</v>
      </c>
      <c r="L169" s="7">
        <v>3</v>
      </c>
      <c r="M169" s="5">
        <v>45</v>
      </c>
      <c r="N169" s="6">
        <v>29</v>
      </c>
      <c r="O169" s="7">
        <v>2</v>
      </c>
      <c r="P169" s="5">
        <v>47</v>
      </c>
      <c r="Q169" s="6">
        <v>22</v>
      </c>
      <c r="R169" s="7">
        <v>2</v>
      </c>
      <c r="S169" s="4">
        <f t="shared" si="56"/>
        <v>186</v>
      </c>
      <c r="T169" s="199">
        <f t="shared" si="57"/>
        <v>89</v>
      </c>
      <c r="U169" s="270">
        <v>115</v>
      </c>
      <c r="V169" s="272">
        <v>56</v>
      </c>
      <c r="W169" s="201">
        <f>I169+L169+O169+R169</f>
        <v>9</v>
      </c>
      <c r="X169" s="62"/>
    </row>
    <row r="170" spans="1:24" s="66" customFormat="1" ht="30" customHeight="1" x14ac:dyDescent="0.3">
      <c r="A170" s="3" t="s">
        <v>127</v>
      </c>
      <c r="B170" s="229">
        <v>95</v>
      </c>
      <c r="C170" s="231" t="s">
        <v>62</v>
      </c>
      <c r="D170" s="230" t="s">
        <v>270</v>
      </c>
      <c r="E170" s="231" t="s">
        <v>22</v>
      </c>
      <c r="F170" s="232" t="s">
        <v>105</v>
      </c>
      <c r="G170" s="233">
        <v>43</v>
      </c>
      <c r="H170" s="232">
        <v>28</v>
      </c>
      <c r="I170" s="234">
        <v>2</v>
      </c>
      <c r="J170" s="235">
        <v>40</v>
      </c>
      <c r="K170" s="234">
        <v>14</v>
      </c>
      <c r="L170" s="234">
        <v>2</v>
      </c>
      <c r="M170" s="233">
        <v>50</v>
      </c>
      <c r="N170" s="232">
        <v>24</v>
      </c>
      <c r="O170" s="234">
        <v>2</v>
      </c>
      <c r="P170" s="233">
        <v>42</v>
      </c>
      <c r="Q170" s="232">
        <v>20</v>
      </c>
      <c r="R170" s="234">
        <v>2</v>
      </c>
      <c r="S170" s="224">
        <f t="shared" si="56"/>
        <v>175</v>
      </c>
      <c r="T170" s="180">
        <f t="shared" si="57"/>
        <v>86</v>
      </c>
      <c r="U170" s="274">
        <v>11</v>
      </c>
      <c r="V170" s="275">
        <v>3</v>
      </c>
      <c r="W170" s="181">
        <f>I170+L170+O170+R170</f>
        <v>8</v>
      </c>
      <c r="X170" s="121"/>
    </row>
    <row r="171" spans="1:24" s="66" customFormat="1" ht="30" customHeight="1" x14ac:dyDescent="0.3">
      <c r="A171" s="236" t="s">
        <v>127</v>
      </c>
      <c r="B171" s="225">
        <v>96</v>
      </c>
      <c r="C171" s="217" t="s">
        <v>51</v>
      </c>
      <c r="D171" s="216" t="s">
        <v>287</v>
      </c>
      <c r="E171" s="217" t="s">
        <v>13</v>
      </c>
      <c r="F171" s="2" t="s">
        <v>105</v>
      </c>
      <c r="G171" s="1">
        <v>36</v>
      </c>
      <c r="H171" s="2">
        <v>13</v>
      </c>
      <c r="I171" s="3">
        <v>2</v>
      </c>
      <c r="J171" s="178">
        <v>41</v>
      </c>
      <c r="K171" s="3">
        <v>16</v>
      </c>
      <c r="L171" s="3">
        <v>2</v>
      </c>
      <c r="M171" s="1">
        <v>46</v>
      </c>
      <c r="N171" s="2">
        <v>21</v>
      </c>
      <c r="O171" s="3">
        <v>2</v>
      </c>
      <c r="P171" s="1">
        <v>51</v>
      </c>
      <c r="Q171" s="2">
        <v>22</v>
      </c>
      <c r="R171" s="3">
        <v>2</v>
      </c>
      <c r="S171" s="224">
        <f t="shared" si="56"/>
        <v>174</v>
      </c>
      <c r="T171" s="180">
        <f t="shared" si="57"/>
        <v>72</v>
      </c>
      <c r="U171" s="263">
        <v>10</v>
      </c>
      <c r="V171" s="264">
        <v>3</v>
      </c>
      <c r="W171" s="181">
        <f>I171+L171+O171+R171</f>
        <v>8</v>
      </c>
      <c r="X171" s="121"/>
    </row>
    <row r="172" spans="1:24" s="69" customFormat="1" ht="30" customHeight="1" x14ac:dyDescent="0.3">
      <c r="A172" s="7" t="s">
        <v>127</v>
      </c>
      <c r="B172" s="214">
        <v>96</v>
      </c>
      <c r="C172" s="215" t="s">
        <v>51</v>
      </c>
      <c r="D172" s="216" t="s">
        <v>288</v>
      </c>
      <c r="E172" s="217" t="s">
        <v>42</v>
      </c>
      <c r="F172" s="232" t="s">
        <v>107</v>
      </c>
      <c r="G172" s="238">
        <v>51</v>
      </c>
      <c r="H172" s="239">
        <v>25</v>
      </c>
      <c r="I172" s="240">
        <v>2</v>
      </c>
      <c r="J172" s="241">
        <v>53</v>
      </c>
      <c r="K172" s="240">
        <v>27</v>
      </c>
      <c r="L172" s="240">
        <v>2</v>
      </c>
      <c r="M172" s="238">
        <v>42</v>
      </c>
      <c r="N172" s="239">
        <v>22</v>
      </c>
      <c r="O172" s="240">
        <v>2</v>
      </c>
      <c r="P172" s="238">
        <v>39</v>
      </c>
      <c r="Q172" s="239">
        <v>21</v>
      </c>
      <c r="R172" s="240">
        <v>2</v>
      </c>
      <c r="S172" s="4">
        <f t="shared" si="56"/>
        <v>185</v>
      </c>
      <c r="T172" s="199">
        <f t="shared" si="57"/>
        <v>95</v>
      </c>
      <c r="U172" s="276">
        <v>6</v>
      </c>
      <c r="V172" s="277">
        <v>3</v>
      </c>
      <c r="W172" s="201">
        <f>I172+L172+O172+R172</f>
        <v>8</v>
      </c>
      <c r="X172" s="62"/>
    </row>
    <row r="173" spans="1:24" s="66" customFormat="1" ht="30" customHeight="1" x14ac:dyDescent="0.3">
      <c r="A173" s="236" t="s">
        <v>127</v>
      </c>
      <c r="B173" s="225">
        <v>97</v>
      </c>
      <c r="C173" s="217" t="s">
        <v>61</v>
      </c>
      <c r="D173" s="216" t="s">
        <v>289</v>
      </c>
      <c r="E173" s="217" t="s">
        <v>138</v>
      </c>
      <c r="F173" s="2" t="s">
        <v>105</v>
      </c>
      <c r="G173" s="1">
        <v>101</v>
      </c>
      <c r="H173" s="2">
        <v>46</v>
      </c>
      <c r="I173" s="3">
        <v>4</v>
      </c>
      <c r="J173" s="178">
        <v>88</v>
      </c>
      <c r="K173" s="3">
        <v>37</v>
      </c>
      <c r="L173" s="3">
        <v>4</v>
      </c>
      <c r="M173" s="1">
        <v>105</v>
      </c>
      <c r="N173" s="2">
        <v>57</v>
      </c>
      <c r="O173" s="3">
        <v>4</v>
      </c>
      <c r="P173" s="1">
        <v>112</v>
      </c>
      <c r="Q173" s="2">
        <v>62</v>
      </c>
      <c r="R173" s="3">
        <v>4</v>
      </c>
      <c r="S173" s="224">
        <f t="shared" si="56"/>
        <v>406</v>
      </c>
      <c r="T173" s="180">
        <f t="shared" si="57"/>
        <v>202</v>
      </c>
      <c r="U173" s="263">
        <v>15</v>
      </c>
      <c r="V173" s="264">
        <v>9</v>
      </c>
      <c r="W173" s="181">
        <f>I173+L173+O173+R173</f>
        <v>16</v>
      </c>
      <c r="X173" s="121"/>
    </row>
    <row r="174" spans="1:24" s="66" customFormat="1" ht="30" customHeight="1" x14ac:dyDescent="0.3">
      <c r="A174" s="3" t="s">
        <v>127</v>
      </c>
      <c r="B174" s="225">
        <v>98</v>
      </c>
      <c r="C174" s="217" t="s">
        <v>52</v>
      </c>
      <c r="D174" s="216" t="s">
        <v>290</v>
      </c>
      <c r="E174" s="217" t="s">
        <v>14</v>
      </c>
      <c r="F174" s="2" t="s">
        <v>105</v>
      </c>
      <c r="G174" s="1">
        <v>60</v>
      </c>
      <c r="H174" s="2">
        <v>26</v>
      </c>
      <c r="I174" s="3">
        <v>3</v>
      </c>
      <c r="J174" s="178">
        <v>50</v>
      </c>
      <c r="K174" s="3">
        <v>23</v>
      </c>
      <c r="L174" s="3">
        <v>2</v>
      </c>
      <c r="M174" s="1">
        <v>74</v>
      </c>
      <c r="N174" s="222">
        <v>39</v>
      </c>
      <c r="O174" s="211">
        <v>3</v>
      </c>
      <c r="P174" s="1">
        <v>71</v>
      </c>
      <c r="Q174" s="2">
        <v>39</v>
      </c>
      <c r="R174" s="3">
        <v>3</v>
      </c>
      <c r="S174" s="224">
        <f t="shared" si="56"/>
        <v>255</v>
      </c>
      <c r="T174" s="180">
        <f t="shared" si="57"/>
        <v>127</v>
      </c>
      <c r="U174" s="263">
        <v>4</v>
      </c>
      <c r="V174" s="264">
        <v>2</v>
      </c>
      <c r="W174" s="181">
        <f>I174+L174+O174+R174</f>
        <v>11</v>
      </c>
      <c r="X174" s="121"/>
    </row>
    <row r="175" spans="1:24" s="66" customFormat="1" ht="30" customHeight="1" x14ac:dyDescent="0.3">
      <c r="A175" s="243" t="s">
        <v>127</v>
      </c>
      <c r="B175" s="225">
        <v>98</v>
      </c>
      <c r="C175" s="244" t="s">
        <v>52</v>
      </c>
      <c r="D175" s="245" t="s">
        <v>291</v>
      </c>
      <c r="E175" s="217" t="s">
        <v>16</v>
      </c>
      <c r="F175" s="2" t="s">
        <v>105</v>
      </c>
      <c r="G175" s="1">
        <v>19</v>
      </c>
      <c r="H175" s="2">
        <v>9</v>
      </c>
      <c r="I175" s="3">
        <v>1</v>
      </c>
      <c r="J175" s="178">
        <v>25</v>
      </c>
      <c r="K175" s="3">
        <v>15</v>
      </c>
      <c r="L175" s="3">
        <v>1</v>
      </c>
      <c r="M175" s="1">
        <v>30</v>
      </c>
      <c r="N175" s="2">
        <v>13</v>
      </c>
      <c r="O175" s="3">
        <v>1</v>
      </c>
      <c r="P175" s="1">
        <v>24</v>
      </c>
      <c r="Q175" s="2">
        <v>10</v>
      </c>
      <c r="R175" s="3">
        <v>1</v>
      </c>
      <c r="S175" s="224">
        <f t="shared" si="56"/>
        <v>98</v>
      </c>
      <c r="T175" s="180">
        <f t="shared" si="57"/>
        <v>47</v>
      </c>
      <c r="U175" s="263">
        <v>2</v>
      </c>
      <c r="V175" s="264">
        <v>1</v>
      </c>
      <c r="W175" s="181">
        <f>I175+L175+O175+R175</f>
        <v>4</v>
      </c>
      <c r="X175" s="121"/>
    </row>
    <row r="176" spans="1:24" s="66" customFormat="1" ht="30" customHeight="1" thickBot="1" x14ac:dyDescent="0.35">
      <c r="A176" s="211" t="s">
        <v>127</v>
      </c>
      <c r="B176" s="360" t="s">
        <v>100</v>
      </c>
      <c r="C176" s="361"/>
      <c r="D176" s="361"/>
      <c r="E176" s="361"/>
      <c r="F176" s="362"/>
      <c r="G176" s="203">
        <f t="shared" ref="G176:H176" si="70">SUM(G169:G175)</f>
        <v>350</v>
      </c>
      <c r="H176" s="184">
        <f t="shared" si="70"/>
        <v>161</v>
      </c>
      <c r="I176" s="185">
        <f t="shared" ref="I176:W176" si="71">SUM(I169:I175)</f>
        <v>16</v>
      </c>
      <c r="J176" s="186">
        <v>351</v>
      </c>
      <c r="K176" s="185">
        <v>156</v>
      </c>
      <c r="L176" s="212">
        <f t="shared" si="71"/>
        <v>16</v>
      </c>
      <c r="M176" s="183">
        <f t="shared" si="71"/>
        <v>392</v>
      </c>
      <c r="N176" s="184">
        <f t="shared" si="71"/>
        <v>205</v>
      </c>
      <c r="O176" s="185">
        <f t="shared" si="71"/>
        <v>16</v>
      </c>
      <c r="P176" s="183">
        <f t="shared" si="71"/>
        <v>386</v>
      </c>
      <c r="Q176" s="184">
        <f t="shared" si="71"/>
        <v>196</v>
      </c>
      <c r="R176" s="185">
        <f t="shared" si="71"/>
        <v>16</v>
      </c>
      <c r="S176" s="206">
        <f t="shared" si="56"/>
        <v>1479</v>
      </c>
      <c r="T176" s="207">
        <f t="shared" si="57"/>
        <v>718</v>
      </c>
      <c r="U176" s="266">
        <f t="shared" si="71"/>
        <v>163</v>
      </c>
      <c r="V176" s="267">
        <f t="shared" si="71"/>
        <v>77</v>
      </c>
      <c r="W176" s="189">
        <f t="shared" si="71"/>
        <v>64</v>
      </c>
      <c r="X176" s="121"/>
    </row>
    <row r="177" spans="1:24" s="70" customFormat="1" ht="30.75" customHeight="1" thickBot="1" x14ac:dyDescent="0.35">
      <c r="A177" s="260" t="s">
        <v>127</v>
      </c>
      <c r="B177" s="363" t="s">
        <v>102</v>
      </c>
      <c r="C177" s="364"/>
      <c r="D177" s="364"/>
      <c r="E177" s="364"/>
      <c r="F177" s="365"/>
      <c r="G177" s="203">
        <f t="shared" ref="G177:H177" si="72">G140+G149+G156+G162+G168+G176</f>
        <v>2385</v>
      </c>
      <c r="H177" s="203">
        <f t="shared" si="72"/>
        <v>1135</v>
      </c>
      <c r="I177" s="246">
        <f t="shared" ref="I177:W177" si="73">I140+I149+I156+I162+I168+I176</f>
        <v>102.25</v>
      </c>
      <c r="J177" s="203">
        <v>2316</v>
      </c>
      <c r="K177" s="203">
        <v>1075</v>
      </c>
      <c r="L177" s="247">
        <f t="shared" si="73"/>
        <v>100.25</v>
      </c>
      <c r="M177" s="203">
        <f t="shared" si="73"/>
        <v>2276</v>
      </c>
      <c r="N177" s="203">
        <f t="shared" si="73"/>
        <v>1179</v>
      </c>
      <c r="O177" s="247">
        <f t="shared" si="73"/>
        <v>96.25</v>
      </c>
      <c r="P177" s="203">
        <f t="shared" si="73"/>
        <v>2327</v>
      </c>
      <c r="Q177" s="203">
        <f t="shared" si="73"/>
        <v>1146</v>
      </c>
      <c r="R177" s="247">
        <f t="shared" si="73"/>
        <v>101.25</v>
      </c>
      <c r="S177" s="206">
        <f t="shared" si="56"/>
        <v>9304</v>
      </c>
      <c r="T177" s="203">
        <f t="shared" si="57"/>
        <v>4535</v>
      </c>
      <c r="U177" s="203">
        <f t="shared" si="73"/>
        <v>678</v>
      </c>
      <c r="V177" s="206">
        <f t="shared" si="73"/>
        <v>310</v>
      </c>
      <c r="W177" s="248">
        <f t="shared" si="73"/>
        <v>400</v>
      </c>
      <c r="X177" s="122"/>
    </row>
    <row r="178" spans="1:24" s="19" customFormat="1" ht="45" customHeight="1" x14ac:dyDescent="0.25">
      <c r="A178" s="158" t="s">
        <v>141</v>
      </c>
      <c r="B178" s="162">
        <v>11</v>
      </c>
      <c r="C178" s="15" t="s">
        <v>48</v>
      </c>
      <c r="D178" s="278" t="s">
        <v>246</v>
      </c>
      <c r="E178" s="15" t="s">
        <v>142</v>
      </c>
      <c r="F178" s="158" t="s">
        <v>105</v>
      </c>
      <c r="G178" s="71">
        <v>34</v>
      </c>
      <c r="H178" s="72">
        <v>19</v>
      </c>
      <c r="I178" s="158">
        <v>1.25</v>
      </c>
      <c r="J178" s="279">
        <v>32</v>
      </c>
      <c r="K178" s="158">
        <v>17</v>
      </c>
      <c r="L178" s="158">
        <v>1.25</v>
      </c>
      <c r="M178" s="71">
        <v>31</v>
      </c>
      <c r="N178" s="72">
        <v>14</v>
      </c>
      <c r="O178" s="158">
        <v>1.25</v>
      </c>
      <c r="P178" s="71">
        <v>33</v>
      </c>
      <c r="Q178" s="72">
        <v>15</v>
      </c>
      <c r="R178" s="158">
        <v>1.25</v>
      </c>
      <c r="S178" s="73">
        <f t="shared" si="56"/>
        <v>130</v>
      </c>
      <c r="T178" s="74">
        <f t="shared" si="57"/>
        <v>65</v>
      </c>
      <c r="U178" s="75">
        <v>0</v>
      </c>
      <c r="V178" s="18">
        <v>0</v>
      </c>
      <c r="W178" s="76">
        <f>I178+L178+O178+R178</f>
        <v>5</v>
      </c>
      <c r="X178" s="123"/>
    </row>
    <row r="179" spans="1:24" s="24" customFormat="1" ht="31.95" customHeight="1" x14ac:dyDescent="0.25">
      <c r="A179" s="155" t="s">
        <v>141</v>
      </c>
      <c r="B179" s="20">
        <v>15</v>
      </c>
      <c r="C179" s="21" t="s">
        <v>64</v>
      </c>
      <c r="D179" s="280" t="s">
        <v>247</v>
      </c>
      <c r="E179" s="21" t="s">
        <v>24</v>
      </c>
      <c r="F179" s="155" t="s">
        <v>105</v>
      </c>
      <c r="G179" s="146">
        <v>35</v>
      </c>
      <c r="H179" s="145">
        <v>17</v>
      </c>
      <c r="I179" s="155">
        <v>2</v>
      </c>
      <c r="J179" s="154">
        <v>39</v>
      </c>
      <c r="K179" s="155">
        <v>24</v>
      </c>
      <c r="L179" s="155">
        <v>2</v>
      </c>
      <c r="M179" s="146">
        <v>43</v>
      </c>
      <c r="N179" s="145">
        <v>22</v>
      </c>
      <c r="O179" s="155">
        <v>2</v>
      </c>
      <c r="P179" s="146">
        <v>45</v>
      </c>
      <c r="Q179" s="145">
        <v>26</v>
      </c>
      <c r="R179" s="155">
        <v>2</v>
      </c>
      <c r="S179" s="77">
        <f t="shared" si="56"/>
        <v>162</v>
      </c>
      <c r="T179" s="78">
        <f t="shared" si="57"/>
        <v>89</v>
      </c>
      <c r="U179" s="79">
        <v>9</v>
      </c>
      <c r="V179" s="23">
        <v>5</v>
      </c>
      <c r="W179" s="80">
        <f>I179+L179+O179+R179</f>
        <v>8</v>
      </c>
      <c r="X179" s="13"/>
    </row>
    <row r="180" spans="1:24" s="24" customFormat="1" ht="31.95" customHeight="1" thickBot="1" x14ac:dyDescent="0.3">
      <c r="A180" s="36" t="s">
        <v>141</v>
      </c>
      <c r="B180" s="351" t="s">
        <v>92</v>
      </c>
      <c r="C180" s="352"/>
      <c r="D180" s="352"/>
      <c r="E180" s="352"/>
      <c r="F180" s="353"/>
      <c r="G180" s="26">
        <f t="shared" ref="G180:H180" si="74">SUM(G178:G179)</f>
        <v>69</v>
      </c>
      <c r="H180" s="64">
        <f t="shared" si="74"/>
        <v>36</v>
      </c>
      <c r="I180" s="81">
        <f t="shared" ref="I180:W180" si="75">SUM(I178:I179)</f>
        <v>3.25</v>
      </c>
      <c r="J180" s="27">
        <v>71</v>
      </c>
      <c r="K180" s="81">
        <v>41</v>
      </c>
      <c r="L180" s="81">
        <f t="shared" si="75"/>
        <v>3.25</v>
      </c>
      <c r="M180" s="26">
        <f t="shared" si="75"/>
        <v>74</v>
      </c>
      <c r="N180" s="64">
        <f t="shared" si="75"/>
        <v>36</v>
      </c>
      <c r="O180" s="81">
        <f t="shared" si="75"/>
        <v>3.25</v>
      </c>
      <c r="P180" s="26">
        <f t="shared" si="75"/>
        <v>78</v>
      </c>
      <c r="Q180" s="64">
        <f t="shared" si="75"/>
        <v>41</v>
      </c>
      <c r="R180" s="81">
        <f t="shared" si="75"/>
        <v>3.25</v>
      </c>
      <c r="S180" s="82">
        <f t="shared" si="56"/>
        <v>292</v>
      </c>
      <c r="T180" s="83">
        <f t="shared" si="57"/>
        <v>154</v>
      </c>
      <c r="U180" s="25">
        <f t="shared" si="75"/>
        <v>9</v>
      </c>
      <c r="V180" s="84">
        <f t="shared" si="75"/>
        <v>5</v>
      </c>
      <c r="W180" s="85">
        <f t="shared" si="75"/>
        <v>13</v>
      </c>
      <c r="X180" s="13"/>
    </row>
    <row r="181" spans="1:24" s="14" customFormat="1" ht="30" customHeight="1" x14ac:dyDescent="0.25">
      <c r="A181" s="29" t="s">
        <v>141</v>
      </c>
      <c r="B181" s="30">
        <v>22</v>
      </c>
      <c r="C181" s="31" t="s">
        <v>75</v>
      </c>
      <c r="D181" s="281" t="s">
        <v>248</v>
      </c>
      <c r="E181" s="31" t="s">
        <v>32</v>
      </c>
      <c r="F181" s="29" t="s">
        <v>106</v>
      </c>
      <c r="G181" s="86">
        <v>37</v>
      </c>
      <c r="H181" s="87">
        <v>14</v>
      </c>
      <c r="I181" s="29">
        <v>2</v>
      </c>
      <c r="J181" s="88">
        <v>21</v>
      </c>
      <c r="K181" s="29">
        <v>12</v>
      </c>
      <c r="L181" s="29">
        <v>1</v>
      </c>
      <c r="M181" s="86">
        <v>46</v>
      </c>
      <c r="N181" s="87">
        <v>21</v>
      </c>
      <c r="O181" s="29">
        <v>2</v>
      </c>
      <c r="P181" s="86">
        <v>27</v>
      </c>
      <c r="Q181" s="87">
        <v>10</v>
      </c>
      <c r="R181" s="29">
        <v>1</v>
      </c>
      <c r="S181" s="88">
        <f t="shared" si="56"/>
        <v>131</v>
      </c>
      <c r="T181" s="87">
        <f t="shared" si="57"/>
        <v>57</v>
      </c>
      <c r="U181" s="89">
        <v>23</v>
      </c>
      <c r="V181" s="32">
        <v>13</v>
      </c>
      <c r="W181" s="90">
        <f>I181+L181+O181+R181</f>
        <v>6</v>
      </c>
      <c r="X181" s="124"/>
    </row>
    <row r="182" spans="1:24" s="24" customFormat="1" ht="31.95" customHeight="1" x14ac:dyDescent="0.25">
      <c r="A182" s="155" t="s">
        <v>141</v>
      </c>
      <c r="B182" s="20">
        <v>24</v>
      </c>
      <c r="C182" s="21" t="s">
        <v>70</v>
      </c>
      <c r="D182" s="280" t="s">
        <v>249</v>
      </c>
      <c r="E182" s="21" t="s">
        <v>27</v>
      </c>
      <c r="F182" s="155" t="s">
        <v>105</v>
      </c>
      <c r="G182" s="146">
        <v>24</v>
      </c>
      <c r="H182" s="145">
        <v>13</v>
      </c>
      <c r="I182" s="155">
        <v>1</v>
      </c>
      <c r="J182" s="154">
        <v>27</v>
      </c>
      <c r="K182" s="155">
        <v>10</v>
      </c>
      <c r="L182" s="155">
        <v>1</v>
      </c>
      <c r="M182" s="146">
        <v>26</v>
      </c>
      <c r="N182" s="145">
        <v>17</v>
      </c>
      <c r="O182" s="155">
        <v>1</v>
      </c>
      <c r="P182" s="146">
        <v>30</v>
      </c>
      <c r="Q182" s="145">
        <v>11</v>
      </c>
      <c r="R182" s="155">
        <v>1</v>
      </c>
      <c r="S182" s="77">
        <f t="shared" si="56"/>
        <v>107</v>
      </c>
      <c r="T182" s="78">
        <f t="shared" si="57"/>
        <v>51</v>
      </c>
      <c r="U182" s="79">
        <v>9</v>
      </c>
      <c r="V182" s="23">
        <v>4</v>
      </c>
      <c r="W182" s="80">
        <f>I182+L182+O182+R182</f>
        <v>4</v>
      </c>
      <c r="X182" s="13"/>
    </row>
    <row r="183" spans="1:24" s="14" customFormat="1" ht="30" customHeight="1" x14ac:dyDescent="0.25">
      <c r="A183" s="10" t="s">
        <v>141</v>
      </c>
      <c r="B183" s="33">
        <v>25</v>
      </c>
      <c r="C183" s="34" t="s">
        <v>74</v>
      </c>
      <c r="D183" s="280" t="s">
        <v>250</v>
      </c>
      <c r="E183" s="21" t="s">
        <v>130</v>
      </c>
      <c r="F183" s="10" t="s">
        <v>106</v>
      </c>
      <c r="G183" s="91">
        <v>49</v>
      </c>
      <c r="H183" s="17">
        <v>27</v>
      </c>
      <c r="I183" s="10">
        <v>2</v>
      </c>
      <c r="J183" s="92">
        <v>57</v>
      </c>
      <c r="K183" s="10">
        <v>35</v>
      </c>
      <c r="L183" s="10">
        <v>2</v>
      </c>
      <c r="M183" s="91">
        <v>44</v>
      </c>
      <c r="N183" s="17">
        <v>22</v>
      </c>
      <c r="O183" s="10">
        <v>2</v>
      </c>
      <c r="P183" s="91">
        <v>53</v>
      </c>
      <c r="Q183" s="17">
        <v>35</v>
      </c>
      <c r="R183" s="10">
        <v>2</v>
      </c>
      <c r="S183" s="92">
        <f t="shared" si="56"/>
        <v>203</v>
      </c>
      <c r="T183" s="17">
        <f t="shared" si="57"/>
        <v>119</v>
      </c>
      <c r="U183" s="12">
        <v>3</v>
      </c>
      <c r="V183" s="35">
        <v>1</v>
      </c>
      <c r="W183" s="93">
        <f>I183+L183+O183+R183</f>
        <v>8</v>
      </c>
      <c r="X183" s="124"/>
    </row>
    <row r="184" spans="1:24" s="24" customFormat="1" ht="31.95" customHeight="1" x14ac:dyDescent="0.25">
      <c r="A184" s="155" t="s">
        <v>141</v>
      </c>
      <c r="B184" s="20">
        <v>27</v>
      </c>
      <c r="C184" s="21" t="s">
        <v>60</v>
      </c>
      <c r="D184" s="280" t="s">
        <v>251</v>
      </c>
      <c r="E184" s="21" t="s">
        <v>21</v>
      </c>
      <c r="F184" s="155" t="s">
        <v>105</v>
      </c>
      <c r="G184" s="146">
        <v>40</v>
      </c>
      <c r="H184" s="145">
        <v>23</v>
      </c>
      <c r="I184" s="155">
        <v>2</v>
      </c>
      <c r="J184" s="154">
        <v>54</v>
      </c>
      <c r="K184" s="155">
        <v>27</v>
      </c>
      <c r="L184" s="155">
        <v>2</v>
      </c>
      <c r="M184" s="146">
        <v>53</v>
      </c>
      <c r="N184" s="145">
        <v>25</v>
      </c>
      <c r="O184" s="155">
        <v>2</v>
      </c>
      <c r="P184" s="146">
        <v>55</v>
      </c>
      <c r="Q184" s="145">
        <v>29</v>
      </c>
      <c r="R184" s="155">
        <v>2</v>
      </c>
      <c r="S184" s="77">
        <f t="shared" si="56"/>
        <v>202</v>
      </c>
      <c r="T184" s="78">
        <f t="shared" si="57"/>
        <v>104</v>
      </c>
      <c r="U184" s="79">
        <v>8</v>
      </c>
      <c r="V184" s="23">
        <v>7</v>
      </c>
      <c r="W184" s="80">
        <f>I184+L184+O184+R184</f>
        <v>8</v>
      </c>
      <c r="X184" s="13"/>
    </row>
    <row r="185" spans="1:24" s="14" customFormat="1" ht="30" customHeight="1" x14ac:dyDescent="0.25">
      <c r="A185" s="10" t="s">
        <v>141</v>
      </c>
      <c r="B185" s="33">
        <v>27</v>
      </c>
      <c r="C185" s="34" t="s">
        <v>60</v>
      </c>
      <c r="D185" s="280" t="s">
        <v>252</v>
      </c>
      <c r="E185" s="34" t="s">
        <v>33</v>
      </c>
      <c r="F185" s="10" t="s">
        <v>106</v>
      </c>
      <c r="G185" s="91">
        <v>46</v>
      </c>
      <c r="H185" s="17">
        <v>22</v>
      </c>
      <c r="I185" s="10">
        <v>2</v>
      </c>
      <c r="J185" s="92">
        <v>45</v>
      </c>
      <c r="K185" s="10">
        <v>17</v>
      </c>
      <c r="L185" s="10">
        <v>2</v>
      </c>
      <c r="M185" s="91">
        <v>52</v>
      </c>
      <c r="N185" s="17">
        <v>28</v>
      </c>
      <c r="O185" s="10">
        <v>2</v>
      </c>
      <c r="P185" s="91">
        <v>35</v>
      </c>
      <c r="Q185" s="17">
        <v>20</v>
      </c>
      <c r="R185" s="10">
        <v>2</v>
      </c>
      <c r="S185" s="92">
        <f t="shared" si="56"/>
        <v>178</v>
      </c>
      <c r="T185" s="17">
        <f t="shared" si="57"/>
        <v>87</v>
      </c>
      <c r="U185" s="12">
        <v>8</v>
      </c>
      <c r="V185" s="35">
        <v>6</v>
      </c>
      <c r="W185" s="93">
        <f>I185+L185+O185+R185</f>
        <v>8</v>
      </c>
      <c r="X185" s="124"/>
    </row>
    <row r="186" spans="1:24" s="24" customFormat="1" ht="31.95" customHeight="1" thickBot="1" x14ac:dyDescent="0.3">
      <c r="A186" s="36" t="s">
        <v>141</v>
      </c>
      <c r="B186" s="351" t="s">
        <v>101</v>
      </c>
      <c r="C186" s="352"/>
      <c r="D186" s="352"/>
      <c r="E186" s="352"/>
      <c r="F186" s="353"/>
      <c r="G186" s="26">
        <f t="shared" ref="G186:H186" si="76">SUM(G181:G185)</f>
        <v>196</v>
      </c>
      <c r="H186" s="64">
        <f t="shared" si="76"/>
        <v>99</v>
      </c>
      <c r="I186" s="81">
        <f t="shared" ref="I186:W186" si="77">SUM(I181:I185)</f>
        <v>9</v>
      </c>
      <c r="J186" s="27">
        <v>204</v>
      </c>
      <c r="K186" s="81">
        <v>101</v>
      </c>
      <c r="L186" s="81">
        <f t="shared" si="77"/>
        <v>8</v>
      </c>
      <c r="M186" s="26">
        <f t="shared" si="77"/>
        <v>221</v>
      </c>
      <c r="N186" s="64">
        <f t="shared" si="77"/>
        <v>113</v>
      </c>
      <c r="O186" s="81">
        <f t="shared" si="77"/>
        <v>9</v>
      </c>
      <c r="P186" s="26">
        <f t="shared" si="77"/>
        <v>200</v>
      </c>
      <c r="Q186" s="64">
        <f t="shared" si="77"/>
        <v>105</v>
      </c>
      <c r="R186" s="81">
        <f t="shared" si="77"/>
        <v>8</v>
      </c>
      <c r="S186" s="82">
        <f t="shared" si="56"/>
        <v>821</v>
      </c>
      <c r="T186" s="83">
        <f t="shared" si="57"/>
        <v>418</v>
      </c>
      <c r="U186" s="25">
        <f t="shared" si="77"/>
        <v>51</v>
      </c>
      <c r="V186" s="84">
        <f t="shared" si="77"/>
        <v>31</v>
      </c>
      <c r="W186" s="85">
        <f t="shared" si="77"/>
        <v>34</v>
      </c>
      <c r="X186" s="13"/>
    </row>
    <row r="187" spans="1:24" s="38" customFormat="1" ht="30.75" customHeight="1" x14ac:dyDescent="0.25">
      <c r="A187" s="10" t="s">
        <v>141</v>
      </c>
      <c r="B187" s="33">
        <v>31</v>
      </c>
      <c r="C187" s="34" t="s">
        <v>79</v>
      </c>
      <c r="D187" s="280" t="s">
        <v>253</v>
      </c>
      <c r="E187" s="21" t="s">
        <v>36</v>
      </c>
      <c r="F187" s="155" t="s">
        <v>107</v>
      </c>
      <c r="G187" s="8">
        <v>43</v>
      </c>
      <c r="H187" s="9">
        <v>24</v>
      </c>
      <c r="I187" s="10">
        <v>2</v>
      </c>
      <c r="J187" s="92">
        <v>54</v>
      </c>
      <c r="K187" s="10">
        <v>25</v>
      </c>
      <c r="L187" s="10">
        <v>2</v>
      </c>
      <c r="M187" s="8">
        <v>37</v>
      </c>
      <c r="N187" s="9">
        <v>16</v>
      </c>
      <c r="O187" s="10">
        <v>2</v>
      </c>
      <c r="P187" s="8">
        <v>36</v>
      </c>
      <c r="Q187" s="9">
        <v>13</v>
      </c>
      <c r="R187" s="10">
        <v>2</v>
      </c>
      <c r="S187" s="92">
        <f t="shared" si="56"/>
        <v>170</v>
      </c>
      <c r="T187" s="17">
        <f t="shared" si="57"/>
        <v>78</v>
      </c>
      <c r="U187" s="12">
        <v>5</v>
      </c>
      <c r="V187" s="35">
        <v>2</v>
      </c>
      <c r="W187" s="93">
        <f>I187+L187+O187+R187</f>
        <v>8</v>
      </c>
      <c r="X187" s="108"/>
    </row>
    <row r="188" spans="1:24" s="38" customFormat="1" ht="30" customHeight="1" x14ac:dyDescent="0.25">
      <c r="A188" s="10" t="s">
        <v>141</v>
      </c>
      <c r="B188" s="33">
        <v>32</v>
      </c>
      <c r="C188" s="34" t="s">
        <v>85</v>
      </c>
      <c r="D188" s="280" t="s">
        <v>255</v>
      </c>
      <c r="E188" s="21" t="s">
        <v>137</v>
      </c>
      <c r="F188" s="155" t="s">
        <v>107</v>
      </c>
      <c r="G188" s="8">
        <v>64</v>
      </c>
      <c r="H188" s="9">
        <v>34</v>
      </c>
      <c r="I188" s="10">
        <v>3</v>
      </c>
      <c r="J188" s="92">
        <v>73</v>
      </c>
      <c r="K188" s="10">
        <v>30</v>
      </c>
      <c r="L188" s="10">
        <v>3</v>
      </c>
      <c r="M188" s="8">
        <v>64</v>
      </c>
      <c r="N188" s="9">
        <v>31</v>
      </c>
      <c r="O188" s="10">
        <v>3</v>
      </c>
      <c r="P188" s="8">
        <v>74</v>
      </c>
      <c r="Q188" s="9">
        <v>34</v>
      </c>
      <c r="R188" s="10">
        <v>3</v>
      </c>
      <c r="S188" s="92">
        <f t="shared" si="56"/>
        <v>275</v>
      </c>
      <c r="T188" s="17">
        <f t="shared" si="57"/>
        <v>129</v>
      </c>
      <c r="U188" s="12">
        <v>31</v>
      </c>
      <c r="V188" s="35">
        <v>10</v>
      </c>
      <c r="W188" s="93">
        <f>I188+L188+O188+R188</f>
        <v>12</v>
      </c>
      <c r="X188" s="108"/>
    </row>
    <row r="189" spans="1:24" s="24" customFormat="1" ht="31.95" customHeight="1" x14ac:dyDescent="0.25">
      <c r="A189" s="155" t="s">
        <v>141</v>
      </c>
      <c r="B189" s="20">
        <v>33</v>
      </c>
      <c r="C189" s="21" t="s">
        <v>57</v>
      </c>
      <c r="D189" s="280" t="s">
        <v>256</v>
      </c>
      <c r="E189" s="21" t="s">
        <v>18</v>
      </c>
      <c r="F189" s="155" t="s">
        <v>105</v>
      </c>
      <c r="G189" s="146">
        <v>25</v>
      </c>
      <c r="H189" s="145">
        <v>14</v>
      </c>
      <c r="I189" s="155">
        <v>1</v>
      </c>
      <c r="J189" s="154">
        <v>45</v>
      </c>
      <c r="K189" s="155">
        <v>29</v>
      </c>
      <c r="L189" s="155">
        <v>2</v>
      </c>
      <c r="M189" s="146">
        <v>39</v>
      </c>
      <c r="N189" s="145">
        <v>15</v>
      </c>
      <c r="O189" s="155">
        <v>2</v>
      </c>
      <c r="P189" s="146">
        <v>27</v>
      </c>
      <c r="Q189" s="145">
        <v>16</v>
      </c>
      <c r="R189" s="155">
        <v>1</v>
      </c>
      <c r="S189" s="77">
        <f t="shared" si="56"/>
        <v>136</v>
      </c>
      <c r="T189" s="78">
        <f t="shared" si="57"/>
        <v>74</v>
      </c>
      <c r="U189" s="79">
        <v>17</v>
      </c>
      <c r="V189" s="23">
        <v>6</v>
      </c>
      <c r="W189" s="80">
        <f>I189+L189+O189+R189</f>
        <v>6</v>
      </c>
      <c r="X189" s="13"/>
    </row>
    <row r="190" spans="1:24" s="24" customFormat="1" ht="31.95" customHeight="1" x14ac:dyDescent="0.25">
      <c r="A190" s="155" t="s">
        <v>141</v>
      </c>
      <c r="B190" s="20">
        <v>34</v>
      </c>
      <c r="C190" s="21" t="s">
        <v>54</v>
      </c>
      <c r="D190" s="280" t="s">
        <v>254</v>
      </c>
      <c r="E190" s="21" t="s">
        <v>15</v>
      </c>
      <c r="F190" s="155" t="s">
        <v>105</v>
      </c>
      <c r="G190" s="146">
        <v>69</v>
      </c>
      <c r="H190" s="145">
        <v>34</v>
      </c>
      <c r="I190" s="155">
        <v>3</v>
      </c>
      <c r="J190" s="154">
        <v>54</v>
      </c>
      <c r="K190" s="155">
        <v>32</v>
      </c>
      <c r="L190" s="155">
        <v>2</v>
      </c>
      <c r="M190" s="146">
        <v>46</v>
      </c>
      <c r="N190" s="145">
        <v>20</v>
      </c>
      <c r="O190" s="155">
        <v>2</v>
      </c>
      <c r="P190" s="146">
        <v>64</v>
      </c>
      <c r="Q190" s="145">
        <v>34</v>
      </c>
      <c r="R190" s="155">
        <v>3</v>
      </c>
      <c r="S190" s="77">
        <f t="shared" si="56"/>
        <v>233</v>
      </c>
      <c r="T190" s="78">
        <f t="shared" si="57"/>
        <v>120</v>
      </c>
      <c r="U190" s="79">
        <v>21</v>
      </c>
      <c r="V190" s="23">
        <v>9</v>
      </c>
      <c r="W190" s="80">
        <f>I190+L190+O190+R190</f>
        <v>10</v>
      </c>
      <c r="X190" s="13"/>
    </row>
    <row r="191" spans="1:24" s="24" customFormat="1" ht="31.95" customHeight="1" thickBot="1" x14ac:dyDescent="0.3">
      <c r="A191" s="36" t="s">
        <v>141</v>
      </c>
      <c r="B191" s="351" t="s">
        <v>93</v>
      </c>
      <c r="C191" s="352"/>
      <c r="D191" s="352"/>
      <c r="E191" s="352"/>
      <c r="F191" s="353"/>
      <c r="G191" s="40">
        <f t="shared" ref="G191:H191" si="78">SUM(G187:G190)</f>
        <v>201</v>
      </c>
      <c r="H191" s="64">
        <f t="shared" si="78"/>
        <v>106</v>
      </c>
      <c r="I191" s="81">
        <f t="shared" ref="I191:W191" si="79">SUM(I187:I190)</f>
        <v>9</v>
      </c>
      <c r="J191" s="27">
        <v>226</v>
      </c>
      <c r="K191" s="81">
        <v>116</v>
      </c>
      <c r="L191" s="81">
        <f t="shared" si="79"/>
        <v>9</v>
      </c>
      <c r="M191" s="26">
        <f t="shared" si="79"/>
        <v>186</v>
      </c>
      <c r="N191" s="64">
        <f t="shared" si="79"/>
        <v>82</v>
      </c>
      <c r="O191" s="81">
        <f t="shared" si="79"/>
        <v>9</v>
      </c>
      <c r="P191" s="26">
        <f t="shared" si="79"/>
        <v>201</v>
      </c>
      <c r="Q191" s="64">
        <f t="shared" si="79"/>
        <v>97</v>
      </c>
      <c r="R191" s="81">
        <f t="shared" si="79"/>
        <v>9</v>
      </c>
      <c r="S191" s="82">
        <f t="shared" si="56"/>
        <v>814</v>
      </c>
      <c r="T191" s="83">
        <f t="shared" si="57"/>
        <v>401</v>
      </c>
      <c r="U191" s="25">
        <f t="shared" si="79"/>
        <v>74</v>
      </c>
      <c r="V191" s="84">
        <f t="shared" si="79"/>
        <v>27</v>
      </c>
      <c r="W191" s="85">
        <f t="shared" si="79"/>
        <v>36</v>
      </c>
      <c r="X191" s="13"/>
    </row>
    <row r="192" spans="1:24" s="24" customFormat="1" ht="30" customHeight="1" x14ac:dyDescent="0.25">
      <c r="A192" s="155" t="s">
        <v>141</v>
      </c>
      <c r="B192" s="20">
        <v>45</v>
      </c>
      <c r="C192" s="21" t="s">
        <v>65</v>
      </c>
      <c r="D192" s="280" t="s">
        <v>257</v>
      </c>
      <c r="E192" s="21" t="s">
        <v>25</v>
      </c>
      <c r="F192" s="155" t="s">
        <v>105</v>
      </c>
      <c r="G192" s="146">
        <v>36</v>
      </c>
      <c r="H192" s="145">
        <v>13</v>
      </c>
      <c r="I192" s="155">
        <v>2</v>
      </c>
      <c r="J192" s="154">
        <v>43</v>
      </c>
      <c r="K192" s="155">
        <v>18</v>
      </c>
      <c r="L192" s="155">
        <v>2</v>
      </c>
      <c r="M192" s="146">
        <v>40</v>
      </c>
      <c r="N192" s="145">
        <v>25</v>
      </c>
      <c r="O192" s="155">
        <v>2</v>
      </c>
      <c r="P192" s="146">
        <v>40</v>
      </c>
      <c r="Q192" s="145">
        <v>21</v>
      </c>
      <c r="R192" s="155">
        <v>2</v>
      </c>
      <c r="S192" s="77">
        <f t="shared" si="56"/>
        <v>159</v>
      </c>
      <c r="T192" s="78">
        <f t="shared" si="57"/>
        <v>77</v>
      </c>
      <c r="U192" s="79">
        <v>5</v>
      </c>
      <c r="V192" s="23">
        <v>4</v>
      </c>
      <c r="W192" s="80">
        <f>I192+L192+O192+R192</f>
        <v>8</v>
      </c>
      <c r="X192" s="13"/>
    </row>
    <row r="193" spans="1:24" s="38" customFormat="1" ht="30" customHeight="1" x14ac:dyDescent="0.25">
      <c r="A193" s="10" t="s">
        <v>141</v>
      </c>
      <c r="B193" s="33">
        <v>45</v>
      </c>
      <c r="C193" s="34" t="s">
        <v>65</v>
      </c>
      <c r="D193" s="280" t="s">
        <v>258</v>
      </c>
      <c r="E193" s="21" t="s">
        <v>43</v>
      </c>
      <c r="F193" s="155" t="s">
        <v>107</v>
      </c>
      <c r="G193" s="8">
        <v>31</v>
      </c>
      <c r="H193" s="9">
        <v>13</v>
      </c>
      <c r="I193" s="10">
        <v>2</v>
      </c>
      <c r="J193" s="92">
        <v>42</v>
      </c>
      <c r="K193" s="10">
        <v>22</v>
      </c>
      <c r="L193" s="10">
        <v>2</v>
      </c>
      <c r="M193" s="8">
        <v>40</v>
      </c>
      <c r="N193" s="17">
        <v>12</v>
      </c>
      <c r="O193" s="10">
        <v>2</v>
      </c>
      <c r="P193" s="8">
        <v>33</v>
      </c>
      <c r="Q193" s="9">
        <v>20</v>
      </c>
      <c r="R193" s="10">
        <v>2</v>
      </c>
      <c r="S193" s="92">
        <f t="shared" si="56"/>
        <v>146</v>
      </c>
      <c r="T193" s="17">
        <f t="shared" si="57"/>
        <v>67</v>
      </c>
      <c r="U193" s="12">
        <v>3</v>
      </c>
      <c r="V193" s="35">
        <v>1</v>
      </c>
      <c r="W193" s="93">
        <f>I193+L193+O193+R193</f>
        <v>8</v>
      </c>
      <c r="X193" s="108"/>
    </row>
    <row r="194" spans="1:24" s="24" customFormat="1" ht="30" customHeight="1" x14ac:dyDescent="0.25">
      <c r="A194" s="155" t="s">
        <v>141</v>
      </c>
      <c r="B194" s="20">
        <v>46</v>
      </c>
      <c r="C194" s="21" t="s">
        <v>73</v>
      </c>
      <c r="D194" s="280" t="s">
        <v>259</v>
      </c>
      <c r="E194" s="21" t="s">
        <v>30</v>
      </c>
      <c r="F194" s="155" t="s">
        <v>105</v>
      </c>
      <c r="G194" s="146">
        <v>64</v>
      </c>
      <c r="H194" s="145">
        <v>37</v>
      </c>
      <c r="I194" s="155">
        <v>3</v>
      </c>
      <c r="J194" s="154">
        <v>76</v>
      </c>
      <c r="K194" s="155">
        <v>34</v>
      </c>
      <c r="L194" s="155">
        <v>3</v>
      </c>
      <c r="M194" s="146">
        <v>71</v>
      </c>
      <c r="N194" s="145">
        <v>44</v>
      </c>
      <c r="O194" s="155">
        <v>3</v>
      </c>
      <c r="P194" s="146">
        <v>67</v>
      </c>
      <c r="Q194" s="145">
        <v>34</v>
      </c>
      <c r="R194" s="155">
        <v>3</v>
      </c>
      <c r="S194" s="77">
        <f t="shared" si="56"/>
        <v>278</v>
      </c>
      <c r="T194" s="78">
        <f t="shared" si="57"/>
        <v>149</v>
      </c>
      <c r="U194" s="79">
        <v>25</v>
      </c>
      <c r="V194" s="23">
        <v>10</v>
      </c>
      <c r="W194" s="80">
        <f>I194+L194+O194+R194</f>
        <v>12</v>
      </c>
      <c r="X194" s="13"/>
    </row>
    <row r="195" spans="1:24" s="24" customFormat="1" ht="30" customHeight="1" x14ac:dyDescent="0.25">
      <c r="A195" s="155" t="s">
        <v>141</v>
      </c>
      <c r="B195" s="20">
        <v>47</v>
      </c>
      <c r="C195" s="21" t="s">
        <v>53</v>
      </c>
      <c r="D195" s="280" t="s">
        <v>260</v>
      </c>
      <c r="E195" s="21" t="s">
        <v>133</v>
      </c>
      <c r="F195" s="155" t="s">
        <v>105</v>
      </c>
      <c r="G195" s="146">
        <v>66</v>
      </c>
      <c r="H195" s="145">
        <v>21</v>
      </c>
      <c r="I195" s="155">
        <v>3</v>
      </c>
      <c r="J195" s="154">
        <v>57</v>
      </c>
      <c r="K195" s="155">
        <v>26</v>
      </c>
      <c r="L195" s="155">
        <v>2</v>
      </c>
      <c r="M195" s="146">
        <v>39</v>
      </c>
      <c r="N195" s="145">
        <v>16</v>
      </c>
      <c r="O195" s="155">
        <v>2</v>
      </c>
      <c r="P195" s="146">
        <v>34</v>
      </c>
      <c r="Q195" s="145">
        <v>12</v>
      </c>
      <c r="R195" s="155">
        <v>2</v>
      </c>
      <c r="S195" s="77">
        <f t="shared" si="56"/>
        <v>196</v>
      </c>
      <c r="T195" s="78">
        <f t="shared" si="57"/>
        <v>75</v>
      </c>
      <c r="U195" s="79">
        <v>9</v>
      </c>
      <c r="V195" s="23">
        <v>2</v>
      </c>
      <c r="W195" s="80">
        <f>I195+L195+O195+R195</f>
        <v>9</v>
      </c>
      <c r="X195" s="13"/>
    </row>
    <row r="196" spans="1:24" s="24" customFormat="1" ht="30" customHeight="1" thickBot="1" x14ac:dyDescent="0.3">
      <c r="A196" s="149" t="s">
        <v>141</v>
      </c>
      <c r="B196" s="351" t="s">
        <v>94</v>
      </c>
      <c r="C196" s="352"/>
      <c r="D196" s="352"/>
      <c r="E196" s="352"/>
      <c r="F196" s="353"/>
      <c r="G196" s="40">
        <f t="shared" ref="G196:H196" si="80">SUM(G192:G195)</f>
        <v>197</v>
      </c>
      <c r="H196" s="64">
        <f t="shared" si="80"/>
        <v>84</v>
      </c>
      <c r="I196" s="81">
        <f t="shared" ref="I196:W196" si="81">SUM(I192:I195)</f>
        <v>10</v>
      </c>
      <c r="J196" s="27">
        <v>218</v>
      </c>
      <c r="K196" s="81">
        <v>100</v>
      </c>
      <c r="L196" s="81">
        <f t="shared" si="81"/>
        <v>9</v>
      </c>
      <c r="M196" s="26">
        <f t="shared" si="81"/>
        <v>190</v>
      </c>
      <c r="N196" s="64">
        <f t="shared" si="81"/>
        <v>97</v>
      </c>
      <c r="O196" s="81">
        <f t="shared" si="81"/>
        <v>9</v>
      </c>
      <c r="P196" s="26">
        <f t="shared" si="81"/>
        <v>174</v>
      </c>
      <c r="Q196" s="64">
        <f t="shared" si="81"/>
        <v>87</v>
      </c>
      <c r="R196" s="81">
        <f t="shared" si="81"/>
        <v>9</v>
      </c>
      <c r="S196" s="82">
        <f t="shared" si="56"/>
        <v>779</v>
      </c>
      <c r="T196" s="83">
        <f t="shared" si="57"/>
        <v>368</v>
      </c>
      <c r="U196" s="25">
        <f t="shared" si="81"/>
        <v>42</v>
      </c>
      <c r="V196" s="84">
        <f t="shared" si="81"/>
        <v>17</v>
      </c>
      <c r="W196" s="85">
        <f t="shared" si="81"/>
        <v>37</v>
      </c>
      <c r="X196" s="13"/>
    </row>
    <row r="197" spans="1:24" s="24" customFormat="1" ht="30" customHeight="1" thickBot="1" x14ac:dyDescent="0.3">
      <c r="A197" s="43" t="s">
        <v>141</v>
      </c>
      <c r="B197" s="348" t="s">
        <v>95</v>
      </c>
      <c r="C197" s="349"/>
      <c r="D197" s="349"/>
      <c r="E197" s="349"/>
      <c r="F197" s="350"/>
      <c r="G197" s="40">
        <f t="shared" ref="G197:H197" si="82">G180+G186+G191+G196</f>
        <v>663</v>
      </c>
      <c r="H197" s="64">
        <f t="shared" si="82"/>
        <v>325</v>
      </c>
      <c r="I197" s="81">
        <f t="shared" ref="I197:W197" si="83">I180+I186+I191+I196</f>
        <v>31.25</v>
      </c>
      <c r="J197" s="27">
        <v>719</v>
      </c>
      <c r="K197" s="81">
        <v>358</v>
      </c>
      <c r="L197" s="94">
        <f t="shared" si="83"/>
        <v>29.25</v>
      </c>
      <c r="M197" s="26">
        <f t="shared" si="83"/>
        <v>671</v>
      </c>
      <c r="N197" s="64">
        <f t="shared" si="83"/>
        <v>328</v>
      </c>
      <c r="O197" s="81">
        <f t="shared" si="83"/>
        <v>30.25</v>
      </c>
      <c r="P197" s="26">
        <f t="shared" si="83"/>
        <v>653</v>
      </c>
      <c r="Q197" s="64">
        <f t="shared" si="83"/>
        <v>330</v>
      </c>
      <c r="R197" s="81">
        <f t="shared" si="83"/>
        <v>29.25</v>
      </c>
      <c r="S197" s="42">
        <f t="shared" si="56"/>
        <v>2706</v>
      </c>
      <c r="T197" s="95">
        <f t="shared" si="57"/>
        <v>1341</v>
      </c>
      <c r="U197" s="25">
        <f t="shared" si="83"/>
        <v>176</v>
      </c>
      <c r="V197" s="84">
        <f t="shared" si="83"/>
        <v>80</v>
      </c>
      <c r="W197" s="85">
        <f t="shared" si="83"/>
        <v>120</v>
      </c>
      <c r="X197" s="13"/>
    </row>
    <row r="198" spans="1:24" s="24" customFormat="1" ht="31.95" customHeight="1" x14ac:dyDescent="0.25">
      <c r="A198" s="44" t="s">
        <v>141</v>
      </c>
      <c r="B198" s="20">
        <v>51</v>
      </c>
      <c r="C198" s="21" t="s">
        <v>66</v>
      </c>
      <c r="D198" s="280" t="s">
        <v>261</v>
      </c>
      <c r="E198" s="21" t="s">
        <v>26</v>
      </c>
      <c r="F198" s="155" t="s">
        <v>105</v>
      </c>
      <c r="G198" s="146">
        <v>58</v>
      </c>
      <c r="H198" s="145">
        <v>34</v>
      </c>
      <c r="I198" s="155">
        <v>3</v>
      </c>
      <c r="J198" s="154">
        <v>72</v>
      </c>
      <c r="K198" s="155">
        <v>38</v>
      </c>
      <c r="L198" s="155">
        <v>3</v>
      </c>
      <c r="M198" s="146">
        <v>73</v>
      </c>
      <c r="N198" s="145">
        <v>31</v>
      </c>
      <c r="O198" s="155">
        <v>3</v>
      </c>
      <c r="P198" s="146">
        <v>71</v>
      </c>
      <c r="Q198" s="145">
        <v>34</v>
      </c>
      <c r="R198" s="155">
        <v>3</v>
      </c>
      <c r="S198" s="77">
        <f t="shared" si="56"/>
        <v>274</v>
      </c>
      <c r="T198" s="78">
        <f t="shared" si="57"/>
        <v>137</v>
      </c>
      <c r="U198" s="79">
        <v>45</v>
      </c>
      <c r="V198" s="23">
        <v>16</v>
      </c>
      <c r="W198" s="80">
        <f>I198+L198+O198+R198</f>
        <v>12</v>
      </c>
      <c r="X198" s="13"/>
    </row>
    <row r="199" spans="1:24" s="38" customFormat="1" ht="30" customHeight="1" x14ac:dyDescent="0.25">
      <c r="A199" s="10" t="s">
        <v>141</v>
      </c>
      <c r="B199" s="33">
        <v>51</v>
      </c>
      <c r="C199" s="34" t="s">
        <v>66</v>
      </c>
      <c r="D199" s="280" t="s">
        <v>263</v>
      </c>
      <c r="E199" s="21" t="s">
        <v>41</v>
      </c>
      <c r="F199" s="155" t="s">
        <v>107</v>
      </c>
      <c r="G199" s="8">
        <v>84</v>
      </c>
      <c r="H199" s="9">
        <v>46</v>
      </c>
      <c r="I199" s="10">
        <v>3</v>
      </c>
      <c r="J199" s="92">
        <v>62</v>
      </c>
      <c r="K199" s="10">
        <v>34</v>
      </c>
      <c r="L199" s="10">
        <v>3</v>
      </c>
      <c r="M199" s="8">
        <v>80</v>
      </c>
      <c r="N199" s="9">
        <v>29</v>
      </c>
      <c r="O199" s="10">
        <v>3</v>
      </c>
      <c r="P199" s="8">
        <v>81</v>
      </c>
      <c r="Q199" s="9">
        <v>38</v>
      </c>
      <c r="R199" s="10">
        <v>3</v>
      </c>
      <c r="S199" s="92">
        <f t="shared" si="56"/>
        <v>307</v>
      </c>
      <c r="T199" s="17">
        <f t="shared" si="57"/>
        <v>147</v>
      </c>
      <c r="U199" s="12">
        <v>9</v>
      </c>
      <c r="V199" s="35">
        <v>1</v>
      </c>
      <c r="W199" s="93">
        <f>I199+L199+O199+R199</f>
        <v>12</v>
      </c>
      <c r="X199" s="108"/>
    </row>
    <row r="200" spans="1:24" s="38" customFormat="1" ht="30" customHeight="1" x14ac:dyDescent="0.25">
      <c r="A200" s="10" t="s">
        <v>141</v>
      </c>
      <c r="B200" s="33">
        <v>51</v>
      </c>
      <c r="C200" s="34" t="s">
        <v>66</v>
      </c>
      <c r="D200" s="280" t="s">
        <v>262</v>
      </c>
      <c r="E200" s="21" t="s">
        <v>144</v>
      </c>
      <c r="F200" s="155" t="s">
        <v>106</v>
      </c>
      <c r="G200" s="91">
        <v>91</v>
      </c>
      <c r="H200" s="17">
        <v>42</v>
      </c>
      <c r="I200" s="10">
        <v>4</v>
      </c>
      <c r="J200" s="92">
        <v>117</v>
      </c>
      <c r="K200" s="10">
        <v>60</v>
      </c>
      <c r="L200" s="10">
        <v>4</v>
      </c>
      <c r="M200" s="91">
        <v>97</v>
      </c>
      <c r="N200" s="17">
        <v>53</v>
      </c>
      <c r="O200" s="10">
        <v>4</v>
      </c>
      <c r="P200" s="91">
        <v>110</v>
      </c>
      <c r="Q200" s="17">
        <v>53</v>
      </c>
      <c r="R200" s="10">
        <v>4</v>
      </c>
      <c r="S200" s="92">
        <f t="shared" ref="S200:S263" si="84">G200+J200+M200+P200</f>
        <v>415</v>
      </c>
      <c r="T200" s="17">
        <f t="shared" ref="T200:T263" si="85">H200+K200+N200+Q200</f>
        <v>208</v>
      </c>
      <c r="U200" s="12">
        <v>21</v>
      </c>
      <c r="V200" s="35">
        <v>10</v>
      </c>
      <c r="W200" s="93">
        <f>I200+L200+O200+R200</f>
        <v>16</v>
      </c>
      <c r="X200" s="108"/>
    </row>
    <row r="201" spans="1:24" s="24" customFormat="1" ht="30" customHeight="1" x14ac:dyDescent="0.25">
      <c r="A201" s="155" t="s">
        <v>141</v>
      </c>
      <c r="B201" s="20">
        <v>52</v>
      </c>
      <c r="C201" s="21" t="s">
        <v>72</v>
      </c>
      <c r="D201" s="280" t="s">
        <v>264</v>
      </c>
      <c r="E201" s="21" t="s">
        <v>29</v>
      </c>
      <c r="F201" s="155" t="s">
        <v>105</v>
      </c>
      <c r="G201" s="146">
        <v>45</v>
      </c>
      <c r="H201" s="145">
        <v>23</v>
      </c>
      <c r="I201" s="155">
        <v>2</v>
      </c>
      <c r="J201" s="154">
        <v>51</v>
      </c>
      <c r="K201" s="155">
        <v>27</v>
      </c>
      <c r="L201" s="155">
        <v>2</v>
      </c>
      <c r="M201" s="146">
        <v>56</v>
      </c>
      <c r="N201" s="145">
        <v>25</v>
      </c>
      <c r="O201" s="155">
        <v>2</v>
      </c>
      <c r="P201" s="146">
        <v>53</v>
      </c>
      <c r="Q201" s="145">
        <v>30</v>
      </c>
      <c r="R201" s="155">
        <v>2</v>
      </c>
      <c r="S201" s="77">
        <f t="shared" si="84"/>
        <v>205</v>
      </c>
      <c r="T201" s="78">
        <f t="shared" si="85"/>
        <v>105</v>
      </c>
      <c r="U201" s="79">
        <v>9</v>
      </c>
      <c r="V201" s="23">
        <v>8</v>
      </c>
      <c r="W201" s="80">
        <f>I201+L201+O201+R201</f>
        <v>8</v>
      </c>
      <c r="X201" s="13"/>
    </row>
    <row r="202" spans="1:24" s="38" customFormat="1" ht="30" customHeight="1" x14ac:dyDescent="0.25">
      <c r="A202" s="10" t="s">
        <v>141</v>
      </c>
      <c r="B202" s="33">
        <v>54</v>
      </c>
      <c r="C202" s="34" t="s">
        <v>89</v>
      </c>
      <c r="D202" s="280" t="s">
        <v>265</v>
      </c>
      <c r="E202" s="21" t="s">
        <v>111</v>
      </c>
      <c r="F202" s="155" t="s">
        <v>107</v>
      </c>
      <c r="G202" s="8">
        <v>40</v>
      </c>
      <c r="H202" s="9">
        <v>23</v>
      </c>
      <c r="I202" s="10">
        <v>2</v>
      </c>
      <c r="J202" s="92">
        <v>43</v>
      </c>
      <c r="K202" s="10">
        <v>24</v>
      </c>
      <c r="L202" s="10">
        <v>2</v>
      </c>
      <c r="M202" s="8">
        <v>26</v>
      </c>
      <c r="N202" s="9">
        <v>14</v>
      </c>
      <c r="O202" s="10">
        <v>1</v>
      </c>
      <c r="P202" s="8">
        <v>47</v>
      </c>
      <c r="Q202" s="9">
        <v>23</v>
      </c>
      <c r="R202" s="10">
        <v>2</v>
      </c>
      <c r="S202" s="92">
        <f t="shared" si="84"/>
        <v>156</v>
      </c>
      <c r="T202" s="17">
        <f t="shared" si="85"/>
        <v>84</v>
      </c>
      <c r="U202" s="12">
        <v>10</v>
      </c>
      <c r="V202" s="35">
        <v>3</v>
      </c>
      <c r="W202" s="93">
        <f>I202+L202+O202+R202</f>
        <v>7</v>
      </c>
      <c r="X202" s="108"/>
    </row>
    <row r="203" spans="1:24" s="38" customFormat="1" ht="30" customHeight="1" x14ac:dyDescent="0.25">
      <c r="A203" s="10" t="s">
        <v>141</v>
      </c>
      <c r="B203" s="33">
        <v>56</v>
      </c>
      <c r="C203" s="34" t="s">
        <v>83</v>
      </c>
      <c r="D203" s="280" t="s">
        <v>266</v>
      </c>
      <c r="E203" s="21" t="s">
        <v>38</v>
      </c>
      <c r="F203" s="155" t="s">
        <v>107</v>
      </c>
      <c r="G203" s="8">
        <v>84</v>
      </c>
      <c r="H203" s="9">
        <v>36</v>
      </c>
      <c r="I203" s="10">
        <v>4</v>
      </c>
      <c r="J203" s="92">
        <v>78</v>
      </c>
      <c r="K203" s="10">
        <v>33</v>
      </c>
      <c r="L203" s="10">
        <v>3</v>
      </c>
      <c r="M203" s="8">
        <v>76</v>
      </c>
      <c r="N203" s="9">
        <v>34</v>
      </c>
      <c r="O203" s="10">
        <v>3</v>
      </c>
      <c r="P203" s="8">
        <v>71</v>
      </c>
      <c r="Q203" s="9">
        <v>39</v>
      </c>
      <c r="R203" s="10">
        <v>3</v>
      </c>
      <c r="S203" s="92">
        <f t="shared" si="84"/>
        <v>309</v>
      </c>
      <c r="T203" s="17">
        <f t="shared" si="85"/>
        <v>142</v>
      </c>
      <c r="U203" s="12">
        <v>29</v>
      </c>
      <c r="V203" s="35">
        <v>12</v>
      </c>
      <c r="W203" s="93">
        <f>I203+L203+O203+R203</f>
        <v>13</v>
      </c>
      <c r="X203" s="108"/>
    </row>
    <row r="204" spans="1:24" s="24" customFormat="1" ht="30" customHeight="1" x14ac:dyDescent="0.25">
      <c r="A204" s="155" t="s">
        <v>141</v>
      </c>
      <c r="B204" s="20">
        <v>57</v>
      </c>
      <c r="C204" s="21" t="s">
        <v>63</v>
      </c>
      <c r="D204" s="280" t="s">
        <v>267</v>
      </c>
      <c r="E204" s="21" t="s">
        <v>23</v>
      </c>
      <c r="F204" s="155" t="s">
        <v>105</v>
      </c>
      <c r="G204" s="146">
        <v>96</v>
      </c>
      <c r="H204" s="145">
        <v>40</v>
      </c>
      <c r="I204" s="155">
        <v>4</v>
      </c>
      <c r="J204" s="154">
        <v>98</v>
      </c>
      <c r="K204" s="155">
        <v>41</v>
      </c>
      <c r="L204" s="155">
        <v>4</v>
      </c>
      <c r="M204" s="146">
        <v>84</v>
      </c>
      <c r="N204" s="145">
        <v>38</v>
      </c>
      <c r="O204" s="155">
        <v>3</v>
      </c>
      <c r="P204" s="146">
        <v>79</v>
      </c>
      <c r="Q204" s="145">
        <v>39</v>
      </c>
      <c r="R204" s="155">
        <v>3</v>
      </c>
      <c r="S204" s="77">
        <f t="shared" si="84"/>
        <v>357</v>
      </c>
      <c r="T204" s="78">
        <f t="shared" si="85"/>
        <v>158</v>
      </c>
      <c r="U204" s="79">
        <v>16</v>
      </c>
      <c r="V204" s="23">
        <v>7</v>
      </c>
      <c r="W204" s="80">
        <f>I204+L204+O204+R204</f>
        <v>14</v>
      </c>
      <c r="X204" s="13"/>
    </row>
    <row r="205" spans="1:24" s="19" customFormat="1" ht="34.5" customHeight="1" x14ac:dyDescent="0.25">
      <c r="A205" s="155" t="s">
        <v>141</v>
      </c>
      <c r="B205" s="45">
        <v>58</v>
      </c>
      <c r="C205" s="46" t="s">
        <v>50</v>
      </c>
      <c r="D205" s="282" t="s">
        <v>268</v>
      </c>
      <c r="E205" s="46" t="s">
        <v>12</v>
      </c>
      <c r="F205" s="149" t="s">
        <v>105</v>
      </c>
      <c r="G205" s="146">
        <v>46</v>
      </c>
      <c r="H205" s="145">
        <v>23</v>
      </c>
      <c r="I205" s="155">
        <v>2</v>
      </c>
      <c r="J205" s="154">
        <v>47</v>
      </c>
      <c r="K205" s="155">
        <v>25</v>
      </c>
      <c r="L205" s="155">
        <v>2</v>
      </c>
      <c r="M205" s="146">
        <v>43</v>
      </c>
      <c r="N205" s="145">
        <v>14</v>
      </c>
      <c r="O205" s="155">
        <v>2</v>
      </c>
      <c r="P205" s="146">
        <v>49</v>
      </c>
      <c r="Q205" s="145">
        <v>30</v>
      </c>
      <c r="R205" s="155">
        <v>2</v>
      </c>
      <c r="S205" s="77">
        <f t="shared" si="84"/>
        <v>185</v>
      </c>
      <c r="T205" s="78">
        <f t="shared" si="85"/>
        <v>92</v>
      </c>
      <c r="U205" s="79">
        <v>10</v>
      </c>
      <c r="V205" s="23">
        <v>7</v>
      </c>
      <c r="W205" s="80">
        <f>I205+L205+O205+R205</f>
        <v>8</v>
      </c>
      <c r="X205" s="123"/>
    </row>
    <row r="206" spans="1:24" s="24" customFormat="1" ht="30" customHeight="1" thickBot="1" x14ac:dyDescent="0.3">
      <c r="A206" s="36" t="s">
        <v>141</v>
      </c>
      <c r="B206" s="351" t="s">
        <v>96</v>
      </c>
      <c r="C206" s="352"/>
      <c r="D206" s="352"/>
      <c r="E206" s="352"/>
      <c r="F206" s="353"/>
      <c r="G206" s="40">
        <f t="shared" ref="G206:H206" si="86">SUM(G198:G205)</f>
        <v>544</v>
      </c>
      <c r="H206" s="64">
        <f t="shared" si="86"/>
        <v>267</v>
      </c>
      <c r="I206" s="81">
        <f t="shared" ref="I206:W206" si="87">SUM(I198:I205)</f>
        <v>24</v>
      </c>
      <c r="J206" s="27">
        <v>568</v>
      </c>
      <c r="K206" s="81">
        <v>282</v>
      </c>
      <c r="L206" s="96">
        <f t="shared" si="87"/>
        <v>23</v>
      </c>
      <c r="M206" s="26">
        <f t="shared" si="87"/>
        <v>535</v>
      </c>
      <c r="N206" s="64">
        <f t="shared" si="87"/>
        <v>238</v>
      </c>
      <c r="O206" s="81">
        <f t="shared" si="87"/>
        <v>21</v>
      </c>
      <c r="P206" s="26">
        <f t="shared" si="87"/>
        <v>561</v>
      </c>
      <c r="Q206" s="64">
        <f t="shared" si="87"/>
        <v>286</v>
      </c>
      <c r="R206" s="81">
        <f t="shared" si="87"/>
        <v>22</v>
      </c>
      <c r="S206" s="42">
        <f t="shared" si="84"/>
        <v>2208</v>
      </c>
      <c r="T206" s="95">
        <f t="shared" si="85"/>
        <v>1073</v>
      </c>
      <c r="U206" s="25">
        <f t="shared" si="87"/>
        <v>149</v>
      </c>
      <c r="V206" s="84">
        <f t="shared" si="87"/>
        <v>64</v>
      </c>
      <c r="W206" s="85">
        <f t="shared" si="87"/>
        <v>90</v>
      </c>
      <c r="X206" s="13"/>
    </row>
    <row r="207" spans="1:24" s="38" customFormat="1" ht="30" customHeight="1" x14ac:dyDescent="0.25">
      <c r="A207" s="37" t="s">
        <v>141</v>
      </c>
      <c r="B207" s="33">
        <v>61</v>
      </c>
      <c r="C207" s="34" t="s">
        <v>69</v>
      </c>
      <c r="D207" s="280" t="s">
        <v>269</v>
      </c>
      <c r="E207" s="21" t="s">
        <v>139</v>
      </c>
      <c r="F207" s="155" t="s">
        <v>106</v>
      </c>
      <c r="G207" s="91">
        <v>34</v>
      </c>
      <c r="H207" s="17">
        <v>17</v>
      </c>
      <c r="I207" s="10">
        <v>2</v>
      </c>
      <c r="J207" s="92">
        <v>42</v>
      </c>
      <c r="K207" s="10">
        <v>20</v>
      </c>
      <c r="L207" s="10">
        <v>2</v>
      </c>
      <c r="M207" s="91">
        <v>31</v>
      </c>
      <c r="N207" s="17">
        <v>22</v>
      </c>
      <c r="O207" s="10">
        <v>2</v>
      </c>
      <c r="P207" s="91">
        <v>30</v>
      </c>
      <c r="Q207" s="17">
        <v>16</v>
      </c>
      <c r="R207" s="10">
        <v>2</v>
      </c>
      <c r="S207" s="92">
        <f t="shared" si="84"/>
        <v>137</v>
      </c>
      <c r="T207" s="17">
        <f t="shared" si="85"/>
        <v>75</v>
      </c>
      <c r="U207" s="12">
        <v>36</v>
      </c>
      <c r="V207" s="35">
        <v>18</v>
      </c>
      <c r="W207" s="93">
        <f>I207+L207+O207+R207</f>
        <v>8</v>
      </c>
      <c r="X207" s="108"/>
    </row>
    <row r="208" spans="1:24" s="24" customFormat="1" ht="30" customHeight="1" x14ac:dyDescent="0.25">
      <c r="A208" s="44" t="s">
        <v>141</v>
      </c>
      <c r="B208" s="20">
        <v>61</v>
      </c>
      <c r="C208" s="21" t="s">
        <v>69</v>
      </c>
      <c r="D208" s="280" t="s">
        <v>271</v>
      </c>
      <c r="E208" s="21" t="s">
        <v>143</v>
      </c>
      <c r="F208" s="155" t="s">
        <v>105</v>
      </c>
      <c r="G208" s="146">
        <v>60</v>
      </c>
      <c r="H208" s="145">
        <v>28</v>
      </c>
      <c r="I208" s="155">
        <v>3</v>
      </c>
      <c r="J208" s="154">
        <v>78</v>
      </c>
      <c r="K208" s="155">
        <v>28</v>
      </c>
      <c r="L208" s="155">
        <v>3</v>
      </c>
      <c r="M208" s="146">
        <v>60</v>
      </c>
      <c r="N208" s="145">
        <v>32</v>
      </c>
      <c r="O208" s="155">
        <v>3</v>
      </c>
      <c r="P208" s="146">
        <v>56</v>
      </c>
      <c r="Q208" s="145">
        <v>28</v>
      </c>
      <c r="R208" s="155">
        <v>3</v>
      </c>
      <c r="S208" s="77">
        <f t="shared" si="84"/>
        <v>254</v>
      </c>
      <c r="T208" s="78">
        <f t="shared" si="85"/>
        <v>116</v>
      </c>
      <c r="U208" s="79">
        <v>29</v>
      </c>
      <c r="V208" s="23">
        <v>12</v>
      </c>
      <c r="W208" s="80">
        <f>I208+L208+O208+R208</f>
        <v>12</v>
      </c>
      <c r="X208" s="13"/>
    </row>
    <row r="209" spans="1:24" s="38" customFormat="1" ht="30" customHeight="1" x14ac:dyDescent="0.25">
      <c r="A209" s="29" t="s">
        <v>141</v>
      </c>
      <c r="B209" s="47">
        <v>62</v>
      </c>
      <c r="C209" s="48" t="s">
        <v>77</v>
      </c>
      <c r="D209" s="113" t="s">
        <v>272</v>
      </c>
      <c r="E209" s="11" t="s">
        <v>76</v>
      </c>
      <c r="F209" s="145" t="s">
        <v>106</v>
      </c>
      <c r="G209" s="91">
        <v>61</v>
      </c>
      <c r="H209" s="17">
        <v>31</v>
      </c>
      <c r="I209" s="10">
        <v>3</v>
      </c>
      <c r="J209" s="92">
        <v>48</v>
      </c>
      <c r="K209" s="17">
        <v>24</v>
      </c>
      <c r="L209" s="97">
        <v>2</v>
      </c>
      <c r="M209" s="91">
        <v>48</v>
      </c>
      <c r="N209" s="17">
        <v>24</v>
      </c>
      <c r="O209" s="10">
        <v>2</v>
      </c>
      <c r="P209" s="91">
        <v>41</v>
      </c>
      <c r="Q209" s="17">
        <v>24</v>
      </c>
      <c r="R209" s="10">
        <v>2</v>
      </c>
      <c r="S209" s="91">
        <f t="shared" si="84"/>
        <v>198</v>
      </c>
      <c r="T209" s="17">
        <f t="shared" si="85"/>
        <v>103</v>
      </c>
      <c r="U209" s="12">
        <v>10</v>
      </c>
      <c r="V209" s="35">
        <v>7</v>
      </c>
      <c r="W209" s="93">
        <f>I209+L209+O209+R209</f>
        <v>9</v>
      </c>
      <c r="X209" s="108"/>
    </row>
    <row r="210" spans="1:24" s="38" customFormat="1" ht="30" customHeight="1" x14ac:dyDescent="0.25">
      <c r="A210" s="10" t="s">
        <v>141</v>
      </c>
      <c r="B210" s="47">
        <v>63</v>
      </c>
      <c r="C210" s="48" t="s">
        <v>80</v>
      </c>
      <c r="D210" s="113" t="s">
        <v>273</v>
      </c>
      <c r="E210" s="11" t="s">
        <v>110</v>
      </c>
      <c r="F210" s="145" t="s">
        <v>107</v>
      </c>
      <c r="G210" s="8">
        <v>49</v>
      </c>
      <c r="H210" s="9">
        <v>24</v>
      </c>
      <c r="I210" s="10">
        <v>2</v>
      </c>
      <c r="J210" s="92">
        <v>55</v>
      </c>
      <c r="K210" s="17">
        <v>23</v>
      </c>
      <c r="L210" s="97">
        <v>2</v>
      </c>
      <c r="M210" s="8">
        <v>40</v>
      </c>
      <c r="N210" s="9">
        <v>19</v>
      </c>
      <c r="O210" s="10">
        <v>2</v>
      </c>
      <c r="P210" s="8">
        <v>42</v>
      </c>
      <c r="Q210" s="9">
        <v>19</v>
      </c>
      <c r="R210" s="10">
        <v>2</v>
      </c>
      <c r="S210" s="91">
        <f t="shared" si="84"/>
        <v>186</v>
      </c>
      <c r="T210" s="17">
        <f t="shared" si="85"/>
        <v>85</v>
      </c>
      <c r="U210" s="12">
        <v>14</v>
      </c>
      <c r="V210" s="35">
        <v>5</v>
      </c>
      <c r="W210" s="93">
        <f>I210+L210+O210+R210</f>
        <v>8</v>
      </c>
      <c r="X210" s="108"/>
    </row>
    <row r="211" spans="1:24" s="38" customFormat="1" ht="30" customHeight="1" x14ac:dyDescent="0.25">
      <c r="A211" s="10" t="s">
        <v>141</v>
      </c>
      <c r="B211" s="47">
        <v>63</v>
      </c>
      <c r="C211" s="48" t="s">
        <v>80</v>
      </c>
      <c r="D211" s="113" t="s">
        <v>274</v>
      </c>
      <c r="E211" s="11" t="s">
        <v>131</v>
      </c>
      <c r="F211" s="145" t="s">
        <v>107</v>
      </c>
      <c r="G211" s="8">
        <v>66</v>
      </c>
      <c r="H211" s="9">
        <v>32</v>
      </c>
      <c r="I211" s="10">
        <v>3</v>
      </c>
      <c r="J211" s="92">
        <v>71</v>
      </c>
      <c r="K211" s="17">
        <v>43</v>
      </c>
      <c r="L211" s="97">
        <v>3</v>
      </c>
      <c r="M211" s="8">
        <v>63</v>
      </c>
      <c r="N211" s="9">
        <v>26</v>
      </c>
      <c r="O211" s="10">
        <v>3</v>
      </c>
      <c r="P211" s="8">
        <v>48</v>
      </c>
      <c r="Q211" s="9">
        <v>31</v>
      </c>
      <c r="R211" s="10">
        <v>2</v>
      </c>
      <c r="S211" s="91">
        <f t="shared" si="84"/>
        <v>248</v>
      </c>
      <c r="T211" s="17">
        <f t="shared" si="85"/>
        <v>132</v>
      </c>
      <c r="U211" s="12">
        <v>70</v>
      </c>
      <c r="V211" s="35">
        <v>36</v>
      </c>
      <c r="W211" s="93">
        <f>I211+L211+O211+R211</f>
        <v>11</v>
      </c>
      <c r="X211" s="108"/>
    </row>
    <row r="212" spans="1:24" s="24" customFormat="1" ht="31.95" customHeight="1" x14ac:dyDescent="0.25">
      <c r="A212" s="155" t="s">
        <v>141</v>
      </c>
      <c r="B212" s="163">
        <v>68</v>
      </c>
      <c r="C212" s="49" t="s">
        <v>56</v>
      </c>
      <c r="D212" s="283" t="s">
        <v>275</v>
      </c>
      <c r="E212" s="49" t="s">
        <v>17</v>
      </c>
      <c r="F212" s="152" t="s">
        <v>105</v>
      </c>
      <c r="G212" s="146">
        <v>25</v>
      </c>
      <c r="H212" s="145">
        <v>13</v>
      </c>
      <c r="I212" s="155">
        <v>1</v>
      </c>
      <c r="J212" s="154">
        <v>38</v>
      </c>
      <c r="K212" s="145">
        <v>18</v>
      </c>
      <c r="L212" s="157">
        <v>2</v>
      </c>
      <c r="M212" s="146">
        <v>26</v>
      </c>
      <c r="N212" s="145">
        <v>14</v>
      </c>
      <c r="O212" s="155">
        <v>1</v>
      </c>
      <c r="P212" s="146">
        <v>29</v>
      </c>
      <c r="Q212" s="145">
        <v>18</v>
      </c>
      <c r="R212" s="155">
        <v>1</v>
      </c>
      <c r="S212" s="98">
        <f t="shared" si="84"/>
        <v>118</v>
      </c>
      <c r="T212" s="78">
        <f t="shared" si="85"/>
        <v>63</v>
      </c>
      <c r="U212" s="79">
        <v>3</v>
      </c>
      <c r="V212" s="23">
        <v>1</v>
      </c>
      <c r="W212" s="80">
        <f>I212+L212+O212+R212</f>
        <v>5</v>
      </c>
      <c r="X212" s="13"/>
    </row>
    <row r="213" spans="1:24" s="24" customFormat="1" ht="30" customHeight="1" thickBot="1" x14ac:dyDescent="0.3">
      <c r="A213" s="36" t="s">
        <v>141</v>
      </c>
      <c r="B213" s="351" t="s">
        <v>98</v>
      </c>
      <c r="C213" s="352"/>
      <c r="D213" s="352"/>
      <c r="E213" s="352"/>
      <c r="F213" s="353"/>
      <c r="G213" s="40">
        <f t="shared" ref="G213:H213" si="88">SUM(G207:G212)</f>
        <v>295</v>
      </c>
      <c r="H213" s="64">
        <f t="shared" si="88"/>
        <v>145</v>
      </c>
      <c r="I213" s="81">
        <f t="shared" ref="I213:W213" si="89">SUM(I207:I212)</f>
        <v>14</v>
      </c>
      <c r="J213" s="27">
        <v>332</v>
      </c>
      <c r="K213" s="81">
        <v>156</v>
      </c>
      <c r="L213" s="96">
        <f t="shared" si="89"/>
        <v>14</v>
      </c>
      <c r="M213" s="26">
        <f t="shared" si="89"/>
        <v>268</v>
      </c>
      <c r="N213" s="64">
        <f t="shared" si="89"/>
        <v>137</v>
      </c>
      <c r="O213" s="81">
        <f t="shared" si="89"/>
        <v>13</v>
      </c>
      <c r="P213" s="26">
        <f t="shared" si="89"/>
        <v>246</v>
      </c>
      <c r="Q213" s="64">
        <f t="shared" si="89"/>
        <v>136</v>
      </c>
      <c r="R213" s="81">
        <f t="shared" si="89"/>
        <v>12</v>
      </c>
      <c r="S213" s="42">
        <f t="shared" si="84"/>
        <v>1141</v>
      </c>
      <c r="T213" s="95">
        <f t="shared" si="85"/>
        <v>574</v>
      </c>
      <c r="U213" s="25">
        <f t="shared" si="89"/>
        <v>162</v>
      </c>
      <c r="V213" s="84">
        <f t="shared" si="89"/>
        <v>79</v>
      </c>
      <c r="W213" s="85">
        <f t="shared" si="89"/>
        <v>53</v>
      </c>
      <c r="X213" s="13"/>
    </row>
    <row r="214" spans="1:24" s="38" customFormat="1" ht="30" customHeight="1" x14ac:dyDescent="0.25">
      <c r="A214" s="10" t="s">
        <v>141</v>
      </c>
      <c r="B214" s="47">
        <v>71</v>
      </c>
      <c r="C214" s="48" t="s">
        <v>71</v>
      </c>
      <c r="D214" s="113" t="s">
        <v>276</v>
      </c>
      <c r="E214" s="11" t="s">
        <v>39</v>
      </c>
      <c r="F214" s="145" t="s">
        <v>107</v>
      </c>
      <c r="G214" s="8">
        <v>41</v>
      </c>
      <c r="H214" s="9">
        <v>19</v>
      </c>
      <c r="I214" s="10">
        <v>2</v>
      </c>
      <c r="J214" s="92">
        <v>41</v>
      </c>
      <c r="K214" s="10">
        <v>18</v>
      </c>
      <c r="L214" s="97">
        <v>2</v>
      </c>
      <c r="M214" s="8">
        <v>41</v>
      </c>
      <c r="N214" s="9">
        <v>16</v>
      </c>
      <c r="O214" s="10">
        <v>2</v>
      </c>
      <c r="P214" s="8">
        <v>44</v>
      </c>
      <c r="Q214" s="9">
        <v>21</v>
      </c>
      <c r="R214" s="10">
        <v>2</v>
      </c>
      <c r="S214" s="91">
        <f t="shared" si="84"/>
        <v>167</v>
      </c>
      <c r="T214" s="17">
        <f t="shared" si="85"/>
        <v>74</v>
      </c>
      <c r="U214" s="12">
        <v>2</v>
      </c>
      <c r="V214" s="35">
        <v>1</v>
      </c>
      <c r="W214" s="99">
        <f>I214+L214+O214+R214</f>
        <v>8</v>
      </c>
      <c r="X214" s="108"/>
    </row>
    <row r="215" spans="1:24" s="24" customFormat="1" ht="30" customHeight="1" x14ac:dyDescent="0.25">
      <c r="A215" s="155" t="s">
        <v>141</v>
      </c>
      <c r="B215" s="39">
        <v>71</v>
      </c>
      <c r="C215" s="11" t="s">
        <v>71</v>
      </c>
      <c r="D215" s="113" t="s">
        <v>278</v>
      </c>
      <c r="E215" s="11" t="s">
        <v>28</v>
      </c>
      <c r="F215" s="145" t="s">
        <v>105</v>
      </c>
      <c r="G215" s="146">
        <v>24</v>
      </c>
      <c r="H215" s="145">
        <v>11</v>
      </c>
      <c r="I215" s="155">
        <v>1</v>
      </c>
      <c r="J215" s="154">
        <v>29</v>
      </c>
      <c r="K215" s="155">
        <v>9</v>
      </c>
      <c r="L215" s="157">
        <v>1</v>
      </c>
      <c r="M215" s="146">
        <v>23</v>
      </c>
      <c r="N215" s="145">
        <v>7</v>
      </c>
      <c r="O215" s="155">
        <v>1</v>
      </c>
      <c r="P215" s="146">
        <v>23</v>
      </c>
      <c r="Q215" s="145">
        <v>13</v>
      </c>
      <c r="R215" s="155">
        <v>1</v>
      </c>
      <c r="S215" s="98">
        <f t="shared" si="84"/>
        <v>99</v>
      </c>
      <c r="T215" s="78">
        <f t="shared" si="85"/>
        <v>40</v>
      </c>
      <c r="U215" s="79">
        <v>0</v>
      </c>
      <c r="V215" s="23">
        <v>0</v>
      </c>
      <c r="W215" s="284">
        <f>I215+L215+O215+R215</f>
        <v>4</v>
      </c>
      <c r="X215" s="13"/>
    </row>
    <row r="216" spans="1:24" s="19" customFormat="1" ht="30" customHeight="1" thickBot="1" x14ac:dyDescent="0.3">
      <c r="A216" s="50" t="s">
        <v>141</v>
      </c>
      <c r="B216" s="47">
        <v>76</v>
      </c>
      <c r="C216" s="48" t="s">
        <v>78</v>
      </c>
      <c r="D216" s="113" t="s">
        <v>279</v>
      </c>
      <c r="E216" s="11" t="s">
        <v>128</v>
      </c>
      <c r="F216" s="145" t="s">
        <v>107</v>
      </c>
      <c r="G216" s="8">
        <v>27</v>
      </c>
      <c r="H216" s="9">
        <v>16</v>
      </c>
      <c r="I216" s="10">
        <v>1</v>
      </c>
      <c r="J216" s="92">
        <v>26</v>
      </c>
      <c r="K216" s="10">
        <v>11</v>
      </c>
      <c r="L216" s="97">
        <v>1</v>
      </c>
      <c r="M216" s="100">
        <v>25</v>
      </c>
      <c r="N216" s="9">
        <v>13</v>
      </c>
      <c r="O216" s="10">
        <v>1</v>
      </c>
      <c r="P216" s="8">
        <v>26</v>
      </c>
      <c r="Q216" s="9">
        <v>16</v>
      </c>
      <c r="R216" s="10">
        <v>1</v>
      </c>
      <c r="S216" s="91">
        <f t="shared" si="84"/>
        <v>104</v>
      </c>
      <c r="T216" s="17">
        <f t="shared" si="85"/>
        <v>56</v>
      </c>
      <c r="U216" s="12">
        <v>1</v>
      </c>
      <c r="V216" s="35">
        <v>1</v>
      </c>
      <c r="W216" s="93">
        <f>I216+L216+O216+R216</f>
        <v>4</v>
      </c>
      <c r="X216" s="123"/>
    </row>
    <row r="217" spans="1:24" s="24" customFormat="1" ht="30" customHeight="1" x14ac:dyDescent="0.25">
      <c r="A217" s="158" t="s">
        <v>141</v>
      </c>
      <c r="B217" s="39">
        <v>77</v>
      </c>
      <c r="C217" s="11" t="s">
        <v>59</v>
      </c>
      <c r="D217" s="113" t="s">
        <v>280</v>
      </c>
      <c r="E217" s="11" t="s">
        <v>20</v>
      </c>
      <c r="F217" s="145" t="s">
        <v>105</v>
      </c>
      <c r="G217" s="146">
        <v>50</v>
      </c>
      <c r="H217" s="145">
        <v>25</v>
      </c>
      <c r="I217" s="155">
        <v>2</v>
      </c>
      <c r="J217" s="154">
        <v>47</v>
      </c>
      <c r="K217" s="155">
        <v>21</v>
      </c>
      <c r="L217" s="155">
        <v>2</v>
      </c>
      <c r="M217" s="146">
        <v>48</v>
      </c>
      <c r="N217" s="145">
        <v>23</v>
      </c>
      <c r="O217" s="155">
        <v>2</v>
      </c>
      <c r="P217" s="146">
        <v>50</v>
      </c>
      <c r="Q217" s="145">
        <v>23</v>
      </c>
      <c r="R217" s="155">
        <v>2</v>
      </c>
      <c r="S217" s="98">
        <f t="shared" si="84"/>
        <v>195</v>
      </c>
      <c r="T217" s="78">
        <f t="shared" si="85"/>
        <v>92</v>
      </c>
      <c r="U217" s="79">
        <v>6</v>
      </c>
      <c r="V217" s="22">
        <v>1</v>
      </c>
      <c r="W217" s="80">
        <f>I217+L217+O217+R217</f>
        <v>8</v>
      </c>
      <c r="X217" s="13"/>
    </row>
    <row r="218" spans="1:24" s="38" customFormat="1" ht="30" customHeight="1" x14ac:dyDescent="0.25">
      <c r="A218" s="50" t="s">
        <v>141</v>
      </c>
      <c r="B218" s="51">
        <v>77</v>
      </c>
      <c r="C218" s="48" t="s">
        <v>59</v>
      </c>
      <c r="D218" s="113" t="s">
        <v>281</v>
      </c>
      <c r="E218" s="11" t="s">
        <v>40</v>
      </c>
      <c r="F218" s="145" t="s">
        <v>107</v>
      </c>
      <c r="G218" s="8">
        <v>41</v>
      </c>
      <c r="H218" s="9">
        <v>21</v>
      </c>
      <c r="I218" s="10">
        <v>2</v>
      </c>
      <c r="J218" s="92">
        <v>42</v>
      </c>
      <c r="K218" s="10">
        <v>20</v>
      </c>
      <c r="L218" s="10">
        <v>2</v>
      </c>
      <c r="M218" s="8">
        <v>35</v>
      </c>
      <c r="N218" s="9">
        <v>20</v>
      </c>
      <c r="O218" s="10">
        <v>2</v>
      </c>
      <c r="P218" s="8">
        <v>26</v>
      </c>
      <c r="Q218" s="9">
        <v>15</v>
      </c>
      <c r="R218" s="10">
        <v>1</v>
      </c>
      <c r="S218" s="91">
        <f t="shared" si="84"/>
        <v>144</v>
      </c>
      <c r="T218" s="17">
        <f t="shared" si="85"/>
        <v>76</v>
      </c>
      <c r="U218" s="12">
        <v>10</v>
      </c>
      <c r="V218" s="16">
        <v>7</v>
      </c>
      <c r="W218" s="93">
        <f>I218+L218+O218+R218</f>
        <v>7</v>
      </c>
      <c r="X218" s="108"/>
    </row>
    <row r="219" spans="1:24" s="24" customFormat="1" ht="30" customHeight="1" thickBot="1" x14ac:dyDescent="0.3">
      <c r="A219" s="36" t="s">
        <v>141</v>
      </c>
      <c r="B219" s="351" t="s">
        <v>97</v>
      </c>
      <c r="C219" s="352"/>
      <c r="D219" s="352"/>
      <c r="E219" s="352"/>
      <c r="F219" s="353"/>
      <c r="G219" s="40">
        <f t="shared" ref="G219:H219" si="90">SUM(G214:G218)</f>
        <v>183</v>
      </c>
      <c r="H219" s="64">
        <f t="shared" si="90"/>
        <v>92</v>
      </c>
      <c r="I219" s="81">
        <f t="shared" ref="I219:W219" si="91">SUM(I214:I218)</f>
        <v>8</v>
      </c>
      <c r="J219" s="27">
        <v>185</v>
      </c>
      <c r="K219" s="81">
        <v>79</v>
      </c>
      <c r="L219" s="96">
        <f t="shared" si="91"/>
        <v>8</v>
      </c>
      <c r="M219" s="26">
        <f t="shared" si="91"/>
        <v>172</v>
      </c>
      <c r="N219" s="64">
        <f t="shared" si="91"/>
        <v>79</v>
      </c>
      <c r="O219" s="81">
        <f t="shared" si="91"/>
        <v>8</v>
      </c>
      <c r="P219" s="26">
        <f t="shared" si="91"/>
        <v>169</v>
      </c>
      <c r="Q219" s="64">
        <f t="shared" si="91"/>
        <v>88</v>
      </c>
      <c r="R219" s="81">
        <f t="shared" si="91"/>
        <v>7</v>
      </c>
      <c r="S219" s="42">
        <f t="shared" si="84"/>
        <v>709</v>
      </c>
      <c r="T219" s="95">
        <f t="shared" si="85"/>
        <v>338</v>
      </c>
      <c r="U219" s="25">
        <f t="shared" si="91"/>
        <v>19</v>
      </c>
      <c r="V219" s="84">
        <f t="shared" si="91"/>
        <v>10</v>
      </c>
      <c r="W219" s="85">
        <f t="shared" si="91"/>
        <v>31</v>
      </c>
      <c r="X219" s="13"/>
    </row>
    <row r="220" spans="1:24" s="24" customFormat="1" ht="30" customHeight="1" x14ac:dyDescent="0.25">
      <c r="A220" s="155" t="s">
        <v>141</v>
      </c>
      <c r="B220" s="39">
        <v>82</v>
      </c>
      <c r="C220" s="11" t="s">
        <v>58</v>
      </c>
      <c r="D220" s="113" t="s">
        <v>282</v>
      </c>
      <c r="E220" s="11" t="s">
        <v>19</v>
      </c>
      <c r="F220" s="145" t="s">
        <v>105</v>
      </c>
      <c r="G220" s="146">
        <v>78</v>
      </c>
      <c r="H220" s="145">
        <v>38</v>
      </c>
      <c r="I220" s="155">
        <v>4</v>
      </c>
      <c r="J220" s="154">
        <v>94</v>
      </c>
      <c r="K220" s="155">
        <v>46</v>
      </c>
      <c r="L220" s="155">
        <v>4</v>
      </c>
      <c r="M220" s="146">
        <v>91</v>
      </c>
      <c r="N220" s="145">
        <v>44</v>
      </c>
      <c r="O220" s="155">
        <v>4</v>
      </c>
      <c r="P220" s="146">
        <v>91</v>
      </c>
      <c r="Q220" s="145">
        <v>47</v>
      </c>
      <c r="R220" s="155">
        <v>4</v>
      </c>
      <c r="S220" s="98">
        <f t="shared" si="84"/>
        <v>354</v>
      </c>
      <c r="T220" s="78">
        <f t="shared" si="85"/>
        <v>175</v>
      </c>
      <c r="U220" s="79">
        <v>14</v>
      </c>
      <c r="V220" s="22">
        <v>6</v>
      </c>
      <c r="W220" s="80">
        <f>I220+L220+O220+R220</f>
        <v>16</v>
      </c>
      <c r="X220" s="13"/>
    </row>
    <row r="221" spans="1:24" s="19" customFormat="1" ht="30" customHeight="1" x14ac:dyDescent="0.25">
      <c r="A221" s="155" t="s">
        <v>141</v>
      </c>
      <c r="B221" s="164">
        <v>86</v>
      </c>
      <c r="C221" s="11" t="s">
        <v>49</v>
      </c>
      <c r="D221" s="285" t="s">
        <v>283</v>
      </c>
      <c r="E221" s="52" t="s">
        <v>11</v>
      </c>
      <c r="F221" s="153" t="s">
        <v>105</v>
      </c>
      <c r="G221" s="151">
        <v>24</v>
      </c>
      <c r="H221" s="153">
        <v>13</v>
      </c>
      <c r="I221" s="147">
        <v>1</v>
      </c>
      <c r="J221" s="286">
        <v>27</v>
      </c>
      <c r="K221" s="147">
        <v>11</v>
      </c>
      <c r="L221" s="147">
        <v>1</v>
      </c>
      <c r="M221" s="151">
        <v>20</v>
      </c>
      <c r="N221" s="153">
        <v>9</v>
      </c>
      <c r="O221" s="147">
        <v>1</v>
      </c>
      <c r="P221" s="151">
        <v>27</v>
      </c>
      <c r="Q221" s="153">
        <v>13</v>
      </c>
      <c r="R221" s="147">
        <v>1</v>
      </c>
      <c r="S221" s="98">
        <f t="shared" si="84"/>
        <v>98</v>
      </c>
      <c r="T221" s="78">
        <f t="shared" si="85"/>
        <v>46</v>
      </c>
      <c r="U221" s="101">
        <v>6</v>
      </c>
      <c r="V221" s="53">
        <v>4</v>
      </c>
      <c r="W221" s="80">
        <f>I221+L221+O221+R221</f>
        <v>4</v>
      </c>
      <c r="X221" s="123"/>
    </row>
    <row r="222" spans="1:24" s="38" customFormat="1" ht="30" customHeight="1" x14ac:dyDescent="0.25">
      <c r="A222" s="10" t="s">
        <v>141</v>
      </c>
      <c r="B222" s="47">
        <v>86</v>
      </c>
      <c r="C222" s="48" t="s">
        <v>49</v>
      </c>
      <c r="D222" s="113" t="s">
        <v>284</v>
      </c>
      <c r="E222" s="54" t="s">
        <v>37</v>
      </c>
      <c r="F222" s="145" t="s">
        <v>107</v>
      </c>
      <c r="G222" s="8">
        <v>65</v>
      </c>
      <c r="H222" s="9">
        <v>34</v>
      </c>
      <c r="I222" s="10">
        <v>3</v>
      </c>
      <c r="J222" s="92">
        <v>65</v>
      </c>
      <c r="K222" s="10">
        <v>31</v>
      </c>
      <c r="L222" s="10">
        <v>3</v>
      </c>
      <c r="M222" s="8">
        <v>52</v>
      </c>
      <c r="N222" s="9">
        <v>27</v>
      </c>
      <c r="O222" s="10">
        <v>3</v>
      </c>
      <c r="P222" s="8">
        <v>53</v>
      </c>
      <c r="Q222" s="9">
        <v>32</v>
      </c>
      <c r="R222" s="10">
        <v>2</v>
      </c>
      <c r="S222" s="91">
        <f t="shared" si="84"/>
        <v>235</v>
      </c>
      <c r="T222" s="17">
        <f t="shared" si="85"/>
        <v>124</v>
      </c>
      <c r="U222" s="12">
        <v>23</v>
      </c>
      <c r="V222" s="16">
        <v>12</v>
      </c>
      <c r="W222" s="93">
        <f>I222+L222+O222+R222</f>
        <v>11</v>
      </c>
      <c r="X222" s="108"/>
    </row>
    <row r="223" spans="1:24" s="24" customFormat="1" ht="30" customHeight="1" x14ac:dyDescent="0.25">
      <c r="A223" s="55" t="s">
        <v>141</v>
      </c>
      <c r="B223" s="160">
        <v>87</v>
      </c>
      <c r="C223" s="11" t="s">
        <v>68</v>
      </c>
      <c r="D223" s="285" t="s">
        <v>285</v>
      </c>
      <c r="E223" s="52" t="s">
        <v>132</v>
      </c>
      <c r="F223" s="153" t="s">
        <v>105</v>
      </c>
      <c r="G223" s="151">
        <v>93</v>
      </c>
      <c r="H223" s="153">
        <v>47</v>
      </c>
      <c r="I223" s="147">
        <v>4</v>
      </c>
      <c r="J223" s="286">
        <v>98</v>
      </c>
      <c r="K223" s="147">
        <v>46</v>
      </c>
      <c r="L223" s="147">
        <v>4</v>
      </c>
      <c r="M223" s="151">
        <v>81</v>
      </c>
      <c r="N223" s="153">
        <v>36</v>
      </c>
      <c r="O223" s="147">
        <v>4</v>
      </c>
      <c r="P223" s="151">
        <v>71</v>
      </c>
      <c r="Q223" s="153">
        <v>40</v>
      </c>
      <c r="R223" s="147">
        <v>3</v>
      </c>
      <c r="S223" s="98">
        <f t="shared" si="84"/>
        <v>343</v>
      </c>
      <c r="T223" s="78">
        <f t="shared" si="85"/>
        <v>169</v>
      </c>
      <c r="U223" s="101">
        <v>18</v>
      </c>
      <c r="V223" s="53">
        <v>9</v>
      </c>
      <c r="W223" s="80">
        <f>I223+L223+O223+R223</f>
        <v>15</v>
      </c>
      <c r="X223" s="13"/>
    </row>
    <row r="224" spans="1:24" s="24" customFormat="1" ht="30" customHeight="1" thickBot="1" x14ac:dyDescent="0.3">
      <c r="A224" s="36" t="s">
        <v>141</v>
      </c>
      <c r="B224" s="351" t="s">
        <v>99</v>
      </c>
      <c r="C224" s="352"/>
      <c r="D224" s="352"/>
      <c r="E224" s="352"/>
      <c r="F224" s="353"/>
      <c r="G224" s="40">
        <f t="shared" ref="G224:H224" si="92">SUM(G220:G223)</f>
        <v>260</v>
      </c>
      <c r="H224" s="64">
        <f t="shared" si="92"/>
        <v>132</v>
      </c>
      <c r="I224" s="81">
        <f t="shared" ref="I224:W224" si="93">SUM(I220:I223)</f>
        <v>12</v>
      </c>
      <c r="J224" s="27">
        <v>284</v>
      </c>
      <c r="K224" s="81">
        <v>134</v>
      </c>
      <c r="L224" s="96">
        <f t="shared" si="93"/>
        <v>12</v>
      </c>
      <c r="M224" s="26">
        <f t="shared" si="93"/>
        <v>244</v>
      </c>
      <c r="N224" s="64">
        <f t="shared" si="93"/>
        <v>116</v>
      </c>
      <c r="O224" s="81">
        <f t="shared" si="93"/>
        <v>12</v>
      </c>
      <c r="P224" s="26">
        <f t="shared" si="93"/>
        <v>242</v>
      </c>
      <c r="Q224" s="64">
        <f t="shared" si="93"/>
        <v>132</v>
      </c>
      <c r="R224" s="81">
        <f t="shared" si="93"/>
        <v>10</v>
      </c>
      <c r="S224" s="42">
        <f t="shared" si="84"/>
        <v>1030</v>
      </c>
      <c r="T224" s="95">
        <f t="shared" si="85"/>
        <v>514</v>
      </c>
      <c r="U224" s="25">
        <f t="shared" si="93"/>
        <v>61</v>
      </c>
      <c r="V224" s="84">
        <f t="shared" si="93"/>
        <v>31</v>
      </c>
      <c r="W224" s="85">
        <f t="shared" si="93"/>
        <v>46</v>
      </c>
      <c r="X224" s="13"/>
    </row>
    <row r="225" spans="1:24" s="38" customFormat="1" ht="30" customHeight="1" x14ac:dyDescent="0.25">
      <c r="A225" s="10" t="s">
        <v>141</v>
      </c>
      <c r="B225" s="47">
        <v>91</v>
      </c>
      <c r="C225" s="48" t="s">
        <v>81</v>
      </c>
      <c r="D225" s="113" t="s">
        <v>286</v>
      </c>
      <c r="E225" s="11" t="s">
        <v>136</v>
      </c>
      <c r="F225" s="145" t="s">
        <v>107</v>
      </c>
      <c r="G225" s="8">
        <v>28</v>
      </c>
      <c r="H225" s="9">
        <v>11</v>
      </c>
      <c r="I225" s="10">
        <v>1</v>
      </c>
      <c r="J225" s="92">
        <v>64</v>
      </c>
      <c r="K225" s="10">
        <v>29</v>
      </c>
      <c r="L225" s="10">
        <v>3</v>
      </c>
      <c r="M225" s="8">
        <v>32</v>
      </c>
      <c r="N225" s="9">
        <v>14</v>
      </c>
      <c r="O225" s="10">
        <v>2</v>
      </c>
      <c r="P225" s="8">
        <v>48</v>
      </c>
      <c r="Q225" s="9">
        <v>33</v>
      </c>
      <c r="R225" s="10">
        <v>2</v>
      </c>
      <c r="S225" s="91">
        <f t="shared" si="84"/>
        <v>172</v>
      </c>
      <c r="T225" s="17">
        <f t="shared" si="85"/>
        <v>87</v>
      </c>
      <c r="U225" s="12">
        <v>104</v>
      </c>
      <c r="V225" s="16">
        <v>55</v>
      </c>
      <c r="W225" s="93">
        <f>I225+L225+O225+R225</f>
        <v>8</v>
      </c>
      <c r="X225" s="108"/>
    </row>
    <row r="226" spans="1:24" s="24" customFormat="1" ht="30" customHeight="1" x14ac:dyDescent="0.25">
      <c r="A226" s="155" t="s">
        <v>141</v>
      </c>
      <c r="B226" s="164">
        <v>95</v>
      </c>
      <c r="C226" s="52" t="s">
        <v>62</v>
      </c>
      <c r="D226" s="285" t="s">
        <v>277</v>
      </c>
      <c r="E226" s="52" t="s">
        <v>22</v>
      </c>
      <c r="F226" s="153" t="s">
        <v>105</v>
      </c>
      <c r="G226" s="151">
        <v>44</v>
      </c>
      <c r="H226" s="153">
        <v>24</v>
      </c>
      <c r="I226" s="147">
        <v>2</v>
      </c>
      <c r="J226" s="286">
        <v>42</v>
      </c>
      <c r="K226" s="147">
        <v>27</v>
      </c>
      <c r="L226" s="147">
        <v>2</v>
      </c>
      <c r="M226" s="151">
        <v>37</v>
      </c>
      <c r="N226" s="153">
        <v>13</v>
      </c>
      <c r="O226" s="147">
        <v>2</v>
      </c>
      <c r="P226" s="151">
        <v>48</v>
      </c>
      <c r="Q226" s="153">
        <v>23</v>
      </c>
      <c r="R226" s="147">
        <v>2</v>
      </c>
      <c r="S226" s="98">
        <f t="shared" si="84"/>
        <v>171</v>
      </c>
      <c r="T226" s="78">
        <f t="shared" si="85"/>
        <v>87</v>
      </c>
      <c r="U226" s="101">
        <v>12</v>
      </c>
      <c r="V226" s="53">
        <v>5</v>
      </c>
      <c r="W226" s="80">
        <f>I226+L226+O226+R226</f>
        <v>8</v>
      </c>
      <c r="X226" s="13"/>
    </row>
    <row r="227" spans="1:24" s="24" customFormat="1" ht="30" customHeight="1" x14ac:dyDescent="0.25">
      <c r="A227" s="55" t="s">
        <v>141</v>
      </c>
      <c r="B227" s="39">
        <v>96</v>
      </c>
      <c r="C227" s="11" t="s">
        <v>51</v>
      </c>
      <c r="D227" s="113" t="s">
        <v>270</v>
      </c>
      <c r="E227" s="11" t="s">
        <v>13</v>
      </c>
      <c r="F227" s="145" t="s">
        <v>105</v>
      </c>
      <c r="G227" s="146">
        <v>46</v>
      </c>
      <c r="H227" s="145">
        <v>25</v>
      </c>
      <c r="I227" s="155">
        <v>2</v>
      </c>
      <c r="J227" s="154">
        <v>44</v>
      </c>
      <c r="K227" s="155">
        <v>19</v>
      </c>
      <c r="L227" s="155">
        <v>2</v>
      </c>
      <c r="M227" s="146">
        <v>37</v>
      </c>
      <c r="N227" s="145">
        <v>14</v>
      </c>
      <c r="O227" s="155">
        <v>2</v>
      </c>
      <c r="P227" s="146">
        <v>46</v>
      </c>
      <c r="Q227" s="145">
        <v>21</v>
      </c>
      <c r="R227" s="155">
        <v>2</v>
      </c>
      <c r="S227" s="98">
        <f t="shared" si="84"/>
        <v>173</v>
      </c>
      <c r="T227" s="78">
        <f t="shared" si="85"/>
        <v>79</v>
      </c>
      <c r="U227" s="79">
        <v>12</v>
      </c>
      <c r="V227" s="22">
        <v>7</v>
      </c>
      <c r="W227" s="80">
        <f>I227+L227+O227+R227</f>
        <v>8</v>
      </c>
      <c r="X227" s="13"/>
    </row>
    <row r="228" spans="1:24" s="38" customFormat="1" ht="30" customHeight="1" x14ac:dyDescent="0.25">
      <c r="A228" s="10" t="s">
        <v>141</v>
      </c>
      <c r="B228" s="47">
        <v>96</v>
      </c>
      <c r="C228" s="48" t="s">
        <v>51</v>
      </c>
      <c r="D228" s="113" t="s">
        <v>287</v>
      </c>
      <c r="E228" s="11" t="s">
        <v>42</v>
      </c>
      <c r="F228" s="153" t="s">
        <v>107</v>
      </c>
      <c r="G228" s="102">
        <v>48</v>
      </c>
      <c r="H228" s="103">
        <v>23</v>
      </c>
      <c r="I228" s="104">
        <v>2</v>
      </c>
      <c r="J228" s="287">
        <v>53</v>
      </c>
      <c r="K228" s="104">
        <v>27</v>
      </c>
      <c r="L228" s="104">
        <v>2</v>
      </c>
      <c r="M228" s="102">
        <v>52</v>
      </c>
      <c r="N228" s="103">
        <v>27</v>
      </c>
      <c r="O228" s="104">
        <v>2</v>
      </c>
      <c r="P228" s="102">
        <v>48</v>
      </c>
      <c r="Q228" s="103">
        <v>25</v>
      </c>
      <c r="R228" s="104">
        <v>2</v>
      </c>
      <c r="S228" s="91">
        <f t="shared" si="84"/>
        <v>201</v>
      </c>
      <c r="T228" s="17">
        <f t="shared" si="85"/>
        <v>102</v>
      </c>
      <c r="U228" s="105">
        <v>7</v>
      </c>
      <c r="V228" s="56">
        <v>2</v>
      </c>
      <c r="W228" s="93">
        <f>I228+L228+O228+R228</f>
        <v>8</v>
      </c>
      <c r="X228" s="108"/>
    </row>
    <row r="229" spans="1:24" s="24" customFormat="1" ht="30" customHeight="1" x14ac:dyDescent="0.25">
      <c r="A229" s="55" t="s">
        <v>141</v>
      </c>
      <c r="B229" s="39">
        <v>97</v>
      </c>
      <c r="C229" s="11" t="s">
        <v>61</v>
      </c>
      <c r="D229" s="113" t="s">
        <v>288</v>
      </c>
      <c r="E229" s="11" t="s">
        <v>138</v>
      </c>
      <c r="F229" s="145" t="s">
        <v>105</v>
      </c>
      <c r="G229" s="146">
        <v>106</v>
      </c>
      <c r="H229" s="145">
        <v>61</v>
      </c>
      <c r="I229" s="155">
        <v>4</v>
      </c>
      <c r="J229" s="154">
        <v>101</v>
      </c>
      <c r="K229" s="155">
        <v>45</v>
      </c>
      <c r="L229" s="155">
        <v>4</v>
      </c>
      <c r="M229" s="146">
        <v>95</v>
      </c>
      <c r="N229" s="145">
        <v>40</v>
      </c>
      <c r="O229" s="155">
        <v>4</v>
      </c>
      <c r="P229" s="146">
        <v>101</v>
      </c>
      <c r="Q229" s="145">
        <v>57</v>
      </c>
      <c r="R229" s="155">
        <v>4</v>
      </c>
      <c r="S229" s="98">
        <f t="shared" si="84"/>
        <v>403</v>
      </c>
      <c r="T229" s="78">
        <f t="shared" si="85"/>
        <v>203</v>
      </c>
      <c r="U229" s="79">
        <v>15</v>
      </c>
      <c r="V229" s="22">
        <v>9</v>
      </c>
      <c r="W229" s="80">
        <f>I229+L229+O229+R229</f>
        <v>16</v>
      </c>
      <c r="X229" s="13"/>
    </row>
    <row r="230" spans="1:24" s="24" customFormat="1" ht="30" customHeight="1" x14ac:dyDescent="0.25">
      <c r="A230" s="155" t="s">
        <v>141</v>
      </c>
      <c r="B230" s="39">
        <v>98</v>
      </c>
      <c r="C230" s="11" t="s">
        <v>52</v>
      </c>
      <c r="D230" s="113" t="s">
        <v>289</v>
      </c>
      <c r="E230" s="11" t="s">
        <v>14</v>
      </c>
      <c r="F230" s="145" t="s">
        <v>105</v>
      </c>
      <c r="G230" s="146">
        <v>73</v>
      </c>
      <c r="H230" s="145">
        <v>32</v>
      </c>
      <c r="I230" s="155">
        <v>3</v>
      </c>
      <c r="J230" s="154">
        <v>60</v>
      </c>
      <c r="K230" s="155">
        <v>28</v>
      </c>
      <c r="L230" s="155">
        <v>3</v>
      </c>
      <c r="M230" s="146">
        <v>49</v>
      </c>
      <c r="N230" s="152">
        <v>21</v>
      </c>
      <c r="O230" s="149">
        <v>2</v>
      </c>
      <c r="P230" s="146">
        <v>71</v>
      </c>
      <c r="Q230" s="145">
        <v>39</v>
      </c>
      <c r="R230" s="155">
        <v>3</v>
      </c>
      <c r="S230" s="98">
        <f t="shared" si="84"/>
        <v>253</v>
      </c>
      <c r="T230" s="78">
        <f t="shared" si="85"/>
        <v>120</v>
      </c>
      <c r="U230" s="79">
        <v>4</v>
      </c>
      <c r="V230" s="22">
        <v>1</v>
      </c>
      <c r="W230" s="80">
        <f>I230+L230+O230+R230</f>
        <v>11</v>
      </c>
      <c r="X230" s="13"/>
    </row>
    <row r="231" spans="1:24" s="24" customFormat="1" ht="30" customHeight="1" x14ac:dyDescent="0.25">
      <c r="A231" s="156" t="s">
        <v>141</v>
      </c>
      <c r="B231" s="39">
        <v>98</v>
      </c>
      <c r="C231" s="57" t="s">
        <v>52</v>
      </c>
      <c r="D231" s="288" t="s">
        <v>290</v>
      </c>
      <c r="E231" s="11" t="s">
        <v>16</v>
      </c>
      <c r="F231" s="145" t="s">
        <v>105</v>
      </c>
      <c r="G231" s="146">
        <v>17</v>
      </c>
      <c r="H231" s="145">
        <v>9</v>
      </c>
      <c r="I231" s="155">
        <v>1</v>
      </c>
      <c r="J231" s="154">
        <v>20</v>
      </c>
      <c r="K231" s="155">
        <v>9</v>
      </c>
      <c r="L231" s="155">
        <v>1</v>
      </c>
      <c r="M231" s="146">
        <v>24</v>
      </c>
      <c r="N231" s="145">
        <v>15</v>
      </c>
      <c r="O231" s="155">
        <v>1</v>
      </c>
      <c r="P231" s="146">
        <v>28</v>
      </c>
      <c r="Q231" s="145">
        <v>12</v>
      </c>
      <c r="R231" s="155">
        <v>1</v>
      </c>
      <c r="S231" s="98">
        <f t="shared" si="84"/>
        <v>89</v>
      </c>
      <c r="T231" s="78">
        <f t="shared" si="85"/>
        <v>45</v>
      </c>
      <c r="U231" s="79">
        <v>3</v>
      </c>
      <c r="V231" s="22">
        <v>2</v>
      </c>
      <c r="W231" s="80">
        <f>I231+L231+O231+R231</f>
        <v>4</v>
      </c>
      <c r="X231" s="13"/>
    </row>
    <row r="232" spans="1:24" s="24" customFormat="1" ht="30" customHeight="1" thickBot="1" x14ac:dyDescent="0.3">
      <c r="A232" s="149" t="s">
        <v>141</v>
      </c>
      <c r="B232" s="351" t="s">
        <v>100</v>
      </c>
      <c r="C232" s="352"/>
      <c r="D232" s="352"/>
      <c r="E232" s="352"/>
      <c r="F232" s="353"/>
      <c r="G232" s="40">
        <f t="shared" ref="G232:H232" si="94">SUM(G225:G231)</f>
        <v>362</v>
      </c>
      <c r="H232" s="64">
        <f t="shared" si="94"/>
        <v>185</v>
      </c>
      <c r="I232" s="81">
        <f t="shared" ref="I232:W232" si="95">SUM(I225:I231)</f>
        <v>15</v>
      </c>
      <c r="J232" s="27">
        <v>384</v>
      </c>
      <c r="K232" s="81">
        <v>184</v>
      </c>
      <c r="L232" s="96">
        <f t="shared" si="95"/>
        <v>17</v>
      </c>
      <c r="M232" s="26">
        <f t="shared" si="95"/>
        <v>326</v>
      </c>
      <c r="N232" s="64">
        <f t="shared" si="95"/>
        <v>144</v>
      </c>
      <c r="O232" s="81">
        <f t="shared" si="95"/>
        <v>15</v>
      </c>
      <c r="P232" s="26">
        <f t="shared" si="95"/>
        <v>390</v>
      </c>
      <c r="Q232" s="64">
        <f t="shared" si="95"/>
        <v>210</v>
      </c>
      <c r="R232" s="81">
        <f t="shared" si="95"/>
        <v>16</v>
      </c>
      <c r="S232" s="42">
        <f t="shared" si="84"/>
        <v>1462</v>
      </c>
      <c r="T232" s="95">
        <f t="shared" si="85"/>
        <v>723</v>
      </c>
      <c r="U232" s="25">
        <f t="shared" si="95"/>
        <v>157</v>
      </c>
      <c r="V232" s="84">
        <f t="shared" si="95"/>
        <v>81</v>
      </c>
      <c r="W232" s="85">
        <f t="shared" si="95"/>
        <v>63</v>
      </c>
      <c r="X232" s="13"/>
    </row>
    <row r="233" spans="1:24" s="28" customFormat="1" ht="30.75" customHeight="1" thickBot="1" x14ac:dyDescent="0.3">
      <c r="A233" s="58" t="s">
        <v>141</v>
      </c>
      <c r="B233" s="348" t="s">
        <v>102</v>
      </c>
      <c r="C233" s="349"/>
      <c r="D233" s="349"/>
      <c r="E233" s="349"/>
      <c r="F233" s="350"/>
      <c r="G233" s="40">
        <f t="shared" ref="G233:H233" si="96">G197+G206+G213+G219+G224+G232</f>
        <v>2307</v>
      </c>
      <c r="H233" s="40">
        <f t="shared" si="96"/>
        <v>1146</v>
      </c>
      <c r="I233" s="106">
        <f t="shared" ref="I233:W233" si="97">I197+I206+I213+I219+I224+I232</f>
        <v>104.25</v>
      </c>
      <c r="J233" s="40">
        <v>2472</v>
      </c>
      <c r="K233" s="40">
        <v>1193</v>
      </c>
      <c r="L233" s="107">
        <f t="shared" si="97"/>
        <v>103.25</v>
      </c>
      <c r="M233" s="40">
        <f t="shared" si="97"/>
        <v>2216</v>
      </c>
      <c r="N233" s="40">
        <f t="shared" si="97"/>
        <v>1042</v>
      </c>
      <c r="O233" s="107">
        <f t="shared" si="97"/>
        <v>99.25</v>
      </c>
      <c r="P233" s="40">
        <f t="shared" si="97"/>
        <v>2261</v>
      </c>
      <c r="Q233" s="40">
        <f t="shared" si="97"/>
        <v>1182</v>
      </c>
      <c r="R233" s="107">
        <f t="shared" si="97"/>
        <v>96.25</v>
      </c>
      <c r="S233" s="42">
        <f t="shared" si="84"/>
        <v>9256</v>
      </c>
      <c r="T233" s="40">
        <f t="shared" si="85"/>
        <v>4563</v>
      </c>
      <c r="U233" s="40">
        <f t="shared" si="97"/>
        <v>724</v>
      </c>
      <c r="V233" s="42">
        <f t="shared" si="97"/>
        <v>345</v>
      </c>
      <c r="W233" s="41">
        <f t="shared" si="97"/>
        <v>403</v>
      </c>
      <c r="X233" s="125"/>
    </row>
    <row r="234" spans="1:24" s="19" customFormat="1" ht="45" customHeight="1" x14ac:dyDescent="0.25">
      <c r="A234" s="158" t="s">
        <v>145</v>
      </c>
      <c r="B234" s="162">
        <v>11</v>
      </c>
      <c r="C234" s="15" t="s">
        <v>48</v>
      </c>
      <c r="D234" s="278" t="s">
        <v>246</v>
      </c>
      <c r="E234" s="15" t="s">
        <v>142</v>
      </c>
      <c r="F234" s="158" t="s">
        <v>105</v>
      </c>
      <c r="G234" s="71">
        <v>29</v>
      </c>
      <c r="H234" s="72">
        <v>17</v>
      </c>
      <c r="I234" s="158">
        <v>1.25</v>
      </c>
      <c r="J234" s="279">
        <v>34</v>
      </c>
      <c r="K234" s="158">
        <v>18</v>
      </c>
      <c r="L234" s="158">
        <v>1.25</v>
      </c>
      <c r="M234" s="71">
        <v>28</v>
      </c>
      <c r="N234" s="72">
        <v>15</v>
      </c>
      <c r="O234" s="158">
        <v>1.25</v>
      </c>
      <c r="P234" s="71">
        <v>31</v>
      </c>
      <c r="Q234" s="72">
        <v>14</v>
      </c>
      <c r="R234" s="158">
        <v>1.25</v>
      </c>
      <c r="S234" s="73">
        <f t="shared" si="84"/>
        <v>122</v>
      </c>
      <c r="T234" s="74">
        <f t="shared" si="85"/>
        <v>64</v>
      </c>
      <c r="U234" s="75">
        <v>3</v>
      </c>
      <c r="V234" s="18">
        <v>2</v>
      </c>
      <c r="W234" s="76">
        <f>I234+L234+O234+R234</f>
        <v>5</v>
      </c>
      <c r="X234" s="123"/>
    </row>
    <row r="235" spans="1:24" s="24" customFormat="1" ht="31.95" customHeight="1" x14ac:dyDescent="0.25">
      <c r="A235" s="155" t="s">
        <v>145</v>
      </c>
      <c r="B235" s="20">
        <v>15</v>
      </c>
      <c r="C235" s="21" t="s">
        <v>64</v>
      </c>
      <c r="D235" s="280" t="s">
        <v>247</v>
      </c>
      <c r="E235" s="21" t="s">
        <v>24</v>
      </c>
      <c r="F235" s="155" t="s">
        <v>105</v>
      </c>
      <c r="G235" s="146">
        <v>30</v>
      </c>
      <c r="H235" s="145">
        <v>17</v>
      </c>
      <c r="I235" s="155">
        <v>2</v>
      </c>
      <c r="J235" s="154">
        <v>35</v>
      </c>
      <c r="K235" s="155">
        <v>16</v>
      </c>
      <c r="L235" s="155">
        <v>2</v>
      </c>
      <c r="M235" s="146">
        <v>37</v>
      </c>
      <c r="N235" s="145">
        <v>21</v>
      </c>
      <c r="O235" s="155">
        <v>2</v>
      </c>
      <c r="P235" s="146">
        <v>44</v>
      </c>
      <c r="Q235" s="145">
        <v>21</v>
      </c>
      <c r="R235" s="155">
        <v>2</v>
      </c>
      <c r="S235" s="77">
        <f t="shared" si="84"/>
        <v>146</v>
      </c>
      <c r="T235" s="78">
        <f t="shared" si="85"/>
        <v>75</v>
      </c>
      <c r="U235" s="79">
        <v>7</v>
      </c>
      <c r="V235" s="23">
        <v>3</v>
      </c>
      <c r="W235" s="80">
        <f>I235+L235+O235+R235</f>
        <v>8</v>
      </c>
      <c r="X235" s="13"/>
    </row>
    <row r="236" spans="1:24" s="24" customFormat="1" ht="31.95" customHeight="1" thickBot="1" x14ac:dyDescent="0.3">
      <c r="A236" s="36" t="s">
        <v>145</v>
      </c>
      <c r="B236" s="351" t="s">
        <v>92</v>
      </c>
      <c r="C236" s="352"/>
      <c r="D236" s="352"/>
      <c r="E236" s="352"/>
      <c r="F236" s="353"/>
      <c r="G236" s="26">
        <f t="shared" ref="G236:H236" si="98">SUM(G234:G235)</f>
        <v>59</v>
      </c>
      <c r="H236" s="64">
        <f t="shared" si="98"/>
        <v>34</v>
      </c>
      <c r="I236" s="81">
        <f t="shared" ref="I236:W236" si="99">SUM(I234:I235)</f>
        <v>3.25</v>
      </c>
      <c r="J236" s="27">
        <v>69</v>
      </c>
      <c r="K236" s="81">
        <v>34</v>
      </c>
      <c r="L236" s="81">
        <f t="shared" si="99"/>
        <v>3.25</v>
      </c>
      <c r="M236" s="26">
        <f t="shared" si="99"/>
        <v>65</v>
      </c>
      <c r="N236" s="64">
        <f t="shared" si="99"/>
        <v>36</v>
      </c>
      <c r="O236" s="81">
        <f t="shared" si="99"/>
        <v>3.25</v>
      </c>
      <c r="P236" s="26">
        <f t="shared" si="99"/>
        <v>75</v>
      </c>
      <c r="Q236" s="64">
        <f t="shared" si="99"/>
        <v>35</v>
      </c>
      <c r="R236" s="81">
        <f t="shared" si="99"/>
        <v>3.25</v>
      </c>
      <c r="S236" s="82">
        <f t="shared" si="84"/>
        <v>268</v>
      </c>
      <c r="T236" s="83">
        <f t="shared" si="85"/>
        <v>139</v>
      </c>
      <c r="U236" s="25">
        <f t="shared" si="99"/>
        <v>10</v>
      </c>
      <c r="V236" s="84">
        <f t="shared" si="99"/>
        <v>5</v>
      </c>
      <c r="W236" s="85">
        <f t="shared" si="99"/>
        <v>13</v>
      </c>
      <c r="X236" s="13"/>
    </row>
    <row r="237" spans="1:24" s="14" customFormat="1" ht="30" customHeight="1" x14ac:dyDescent="0.25">
      <c r="A237" s="29" t="s">
        <v>145</v>
      </c>
      <c r="B237" s="30">
        <v>22</v>
      </c>
      <c r="C237" s="31" t="s">
        <v>75</v>
      </c>
      <c r="D237" s="281" t="s">
        <v>248</v>
      </c>
      <c r="E237" s="31" t="s">
        <v>32</v>
      </c>
      <c r="F237" s="29" t="s">
        <v>106</v>
      </c>
      <c r="G237" s="86">
        <v>33</v>
      </c>
      <c r="H237" s="87">
        <v>12</v>
      </c>
      <c r="I237" s="29">
        <v>2</v>
      </c>
      <c r="J237" s="88">
        <v>36</v>
      </c>
      <c r="K237" s="29">
        <v>13</v>
      </c>
      <c r="L237" s="29">
        <v>2</v>
      </c>
      <c r="M237" s="86">
        <v>21</v>
      </c>
      <c r="N237" s="87">
        <v>10</v>
      </c>
      <c r="O237" s="29">
        <v>1</v>
      </c>
      <c r="P237" s="86">
        <v>43</v>
      </c>
      <c r="Q237" s="87">
        <v>19</v>
      </c>
      <c r="R237" s="29">
        <v>2</v>
      </c>
      <c r="S237" s="88">
        <f t="shared" si="84"/>
        <v>133</v>
      </c>
      <c r="T237" s="87">
        <f t="shared" si="85"/>
        <v>54</v>
      </c>
      <c r="U237" s="89">
        <v>13</v>
      </c>
      <c r="V237" s="32">
        <v>6</v>
      </c>
      <c r="W237" s="90">
        <f>I237+L237+O237+R237</f>
        <v>7</v>
      </c>
      <c r="X237" s="124"/>
    </row>
    <row r="238" spans="1:24" s="24" customFormat="1" ht="31.95" customHeight="1" x14ac:dyDescent="0.25">
      <c r="A238" s="155" t="s">
        <v>145</v>
      </c>
      <c r="B238" s="20">
        <v>24</v>
      </c>
      <c r="C238" s="21" t="s">
        <v>70</v>
      </c>
      <c r="D238" s="280" t="s">
        <v>249</v>
      </c>
      <c r="E238" s="21" t="s">
        <v>27</v>
      </c>
      <c r="F238" s="155" t="s">
        <v>105</v>
      </c>
      <c r="G238" s="146">
        <v>30</v>
      </c>
      <c r="H238" s="145">
        <v>14</v>
      </c>
      <c r="I238" s="155">
        <v>1</v>
      </c>
      <c r="J238" s="154">
        <v>25</v>
      </c>
      <c r="K238" s="155">
        <v>13</v>
      </c>
      <c r="L238" s="155">
        <v>1</v>
      </c>
      <c r="M238" s="146">
        <v>26</v>
      </c>
      <c r="N238" s="145">
        <v>10</v>
      </c>
      <c r="O238" s="155">
        <v>1</v>
      </c>
      <c r="P238" s="146">
        <v>27</v>
      </c>
      <c r="Q238" s="145">
        <v>16</v>
      </c>
      <c r="R238" s="155">
        <v>1</v>
      </c>
      <c r="S238" s="77">
        <f t="shared" si="84"/>
        <v>108</v>
      </c>
      <c r="T238" s="78">
        <f t="shared" si="85"/>
        <v>53</v>
      </c>
      <c r="U238" s="79">
        <v>10</v>
      </c>
      <c r="V238" s="23">
        <v>3</v>
      </c>
      <c r="W238" s="80">
        <f>I238+L238+O238+R238</f>
        <v>4</v>
      </c>
      <c r="X238" s="13"/>
    </row>
    <row r="239" spans="1:24" s="14" customFormat="1" ht="30" customHeight="1" x14ac:dyDescent="0.25">
      <c r="A239" s="10" t="s">
        <v>145</v>
      </c>
      <c r="B239" s="33">
        <v>25</v>
      </c>
      <c r="C239" s="34" t="s">
        <v>74</v>
      </c>
      <c r="D239" s="280" t="s">
        <v>250</v>
      </c>
      <c r="E239" s="21" t="s">
        <v>130</v>
      </c>
      <c r="F239" s="10" t="s">
        <v>106</v>
      </c>
      <c r="G239" s="91">
        <v>56</v>
      </c>
      <c r="H239" s="17">
        <v>24</v>
      </c>
      <c r="I239" s="10">
        <v>2</v>
      </c>
      <c r="J239" s="92">
        <v>50</v>
      </c>
      <c r="K239" s="10">
        <v>27</v>
      </c>
      <c r="L239" s="10">
        <v>2</v>
      </c>
      <c r="M239" s="91">
        <v>52</v>
      </c>
      <c r="N239" s="17">
        <v>33</v>
      </c>
      <c r="O239" s="10">
        <v>2</v>
      </c>
      <c r="P239" s="91">
        <v>43</v>
      </c>
      <c r="Q239" s="17">
        <v>23</v>
      </c>
      <c r="R239" s="10">
        <v>2</v>
      </c>
      <c r="S239" s="92">
        <f t="shared" si="84"/>
        <v>201</v>
      </c>
      <c r="T239" s="17">
        <f t="shared" si="85"/>
        <v>107</v>
      </c>
      <c r="U239" s="12">
        <v>4</v>
      </c>
      <c r="V239" s="35">
        <v>2</v>
      </c>
      <c r="W239" s="93">
        <f>I239+L239+O239+R239</f>
        <v>8</v>
      </c>
      <c r="X239" s="124"/>
    </row>
    <row r="240" spans="1:24" s="24" customFormat="1" ht="31.95" customHeight="1" x14ac:dyDescent="0.25">
      <c r="A240" s="155" t="s">
        <v>145</v>
      </c>
      <c r="B240" s="20">
        <v>27</v>
      </c>
      <c r="C240" s="21" t="s">
        <v>60</v>
      </c>
      <c r="D240" s="280" t="s">
        <v>251</v>
      </c>
      <c r="E240" s="21" t="s">
        <v>21</v>
      </c>
      <c r="F240" s="155" t="s">
        <v>105</v>
      </c>
      <c r="G240" s="146">
        <v>56</v>
      </c>
      <c r="H240" s="145">
        <v>29</v>
      </c>
      <c r="I240" s="155">
        <v>2</v>
      </c>
      <c r="J240" s="154">
        <v>43</v>
      </c>
      <c r="K240" s="155">
        <v>26</v>
      </c>
      <c r="L240" s="155">
        <v>2</v>
      </c>
      <c r="M240" s="146">
        <v>53</v>
      </c>
      <c r="N240" s="145">
        <v>27</v>
      </c>
      <c r="O240" s="155">
        <v>2</v>
      </c>
      <c r="P240" s="146">
        <v>51</v>
      </c>
      <c r="Q240" s="145">
        <v>24</v>
      </c>
      <c r="R240" s="155">
        <v>2</v>
      </c>
      <c r="S240" s="77">
        <f t="shared" si="84"/>
        <v>203</v>
      </c>
      <c r="T240" s="78">
        <f t="shared" si="85"/>
        <v>106</v>
      </c>
      <c r="U240" s="79">
        <v>7</v>
      </c>
      <c r="V240" s="23">
        <v>5</v>
      </c>
      <c r="W240" s="80">
        <f>I240+L240+O240+R240</f>
        <v>8</v>
      </c>
      <c r="X240" s="13"/>
    </row>
    <row r="241" spans="1:24" s="14" customFormat="1" ht="30" customHeight="1" x14ac:dyDescent="0.25">
      <c r="A241" s="10" t="s">
        <v>145</v>
      </c>
      <c r="B241" s="33">
        <v>27</v>
      </c>
      <c r="C241" s="34" t="s">
        <v>60</v>
      </c>
      <c r="D241" s="280" t="s">
        <v>252</v>
      </c>
      <c r="E241" s="34" t="s">
        <v>33</v>
      </c>
      <c r="F241" s="10" t="s">
        <v>106</v>
      </c>
      <c r="G241" s="91">
        <v>44</v>
      </c>
      <c r="H241" s="17">
        <v>14</v>
      </c>
      <c r="I241" s="10">
        <v>2</v>
      </c>
      <c r="J241" s="92">
        <v>44</v>
      </c>
      <c r="K241" s="10">
        <v>21</v>
      </c>
      <c r="L241" s="10">
        <v>2</v>
      </c>
      <c r="M241" s="91">
        <v>47</v>
      </c>
      <c r="N241" s="17">
        <v>19</v>
      </c>
      <c r="O241" s="10">
        <v>2</v>
      </c>
      <c r="P241" s="91">
        <v>50</v>
      </c>
      <c r="Q241" s="17">
        <v>26</v>
      </c>
      <c r="R241" s="10">
        <v>2</v>
      </c>
      <c r="S241" s="92">
        <f t="shared" si="84"/>
        <v>185</v>
      </c>
      <c r="T241" s="17">
        <f t="shared" si="85"/>
        <v>80</v>
      </c>
      <c r="U241" s="12">
        <v>6</v>
      </c>
      <c r="V241" s="35">
        <v>3</v>
      </c>
      <c r="W241" s="93">
        <f>I241+L241+O241+R241</f>
        <v>8</v>
      </c>
      <c r="X241" s="124"/>
    </row>
    <row r="242" spans="1:24" s="24" customFormat="1" ht="31.95" customHeight="1" thickBot="1" x14ac:dyDescent="0.3">
      <c r="A242" s="36" t="s">
        <v>145</v>
      </c>
      <c r="B242" s="351" t="s">
        <v>101</v>
      </c>
      <c r="C242" s="352"/>
      <c r="D242" s="352"/>
      <c r="E242" s="352"/>
      <c r="F242" s="353"/>
      <c r="G242" s="26">
        <f t="shared" ref="G242:H242" si="100">SUM(G237:G241)</f>
        <v>219</v>
      </c>
      <c r="H242" s="64">
        <f t="shared" si="100"/>
        <v>93</v>
      </c>
      <c r="I242" s="81">
        <f t="shared" ref="I242:W242" si="101">SUM(I237:I241)</f>
        <v>9</v>
      </c>
      <c r="J242" s="27">
        <v>198</v>
      </c>
      <c r="K242" s="81">
        <v>100</v>
      </c>
      <c r="L242" s="81">
        <f t="shared" si="101"/>
        <v>9</v>
      </c>
      <c r="M242" s="26">
        <f t="shared" si="101"/>
        <v>199</v>
      </c>
      <c r="N242" s="64">
        <f t="shared" si="101"/>
        <v>99</v>
      </c>
      <c r="O242" s="81">
        <f t="shared" si="101"/>
        <v>8</v>
      </c>
      <c r="P242" s="26">
        <f t="shared" si="101"/>
        <v>214</v>
      </c>
      <c r="Q242" s="64">
        <f t="shared" si="101"/>
        <v>108</v>
      </c>
      <c r="R242" s="81">
        <f t="shared" si="101"/>
        <v>9</v>
      </c>
      <c r="S242" s="82">
        <f t="shared" si="84"/>
        <v>830</v>
      </c>
      <c r="T242" s="83">
        <f t="shared" si="85"/>
        <v>400</v>
      </c>
      <c r="U242" s="25">
        <f t="shared" si="101"/>
        <v>40</v>
      </c>
      <c r="V242" s="84">
        <f t="shared" si="101"/>
        <v>19</v>
      </c>
      <c r="W242" s="85">
        <f t="shared" si="101"/>
        <v>35</v>
      </c>
      <c r="X242" s="13"/>
    </row>
    <row r="243" spans="1:24" s="38" customFormat="1" ht="30.75" customHeight="1" x14ac:dyDescent="0.25">
      <c r="A243" s="10" t="s">
        <v>145</v>
      </c>
      <c r="B243" s="33">
        <v>31</v>
      </c>
      <c r="C243" s="34" t="s">
        <v>79</v>
      </c>
      <c r="D243" s="280" t="s">
        <v>253</v>
      </c>
      <c r="E243" s="21" t="s">
        <v>36</v>
      </c>
      <c r="F243" s="155" t="s">
        <v>107</v>
      </c>
      <c r="G243" s="8">
        <v>34</v>
      </c>
      <c r="H243" s="9">
        <v>18</v>
      </c>
      <c r="I243" s="10">
        <v>2</v>
      </c>
      <c r="J243" s="92">
        <v>44</v>
      </c>
      <c r="K243" s="10">
        <v>23</v>
      </c>
      <c r="L243" s="10">
        <v>2</v>
      </c>
      <c r="M243" s="8">
        <v>52</v>
      </c>
      <c r="N243" s="9">
        <v>25</v>
      </c>
      <c r="O243" s="10">
        <v>2</v>
      </c>
      <c r="P243" s="8">
        <v>37</v>
      </c>
      <c r="Q243" s="9">
        <v>16</v>
      </c>
      <c r="R243" s="10">
        <v>2</v>
      </c>
      <c r="S243" s="92">
        <f t="shared" si="84"/>
        <v>167</v>
      </c>
      <c r="T243" s="17">
        <f t="shared" si="85"/>
        <v>82</v>
      </c>
      <c r="U243" s="12">
        <v>9</v>
      </c>
      <c r="V243" s="35">
        <v>1</v>
      </c>
      <c r="W243" s="93">
        <f>I243+L243+O243+R243</f>
        <v>8</v>
      </c>
      <c r="X243" s="108"/>
    </row>
    <row r="244" spans="1:24" s="38" customFormat="1" ht="30" customHeight="1" x14ac:dyDescent="0.25">
      <c r="A244" s="10" t="s">
        <v>145</v>
      </c>
      <c r="B244" s="33">
        <v>32</v>
      </c>
      <c r="C244" s="34" t="s">
        <v>85</v>
      </c>
      <c r="D244" s="280" t="s">
        <v>255</v>
      </c>
      <c r="E244" s="21" t="s">
        <v>137</v>
      </c>
      <c r="F244" s="155" t="s">
        <v>107</v>
      </c>
      <c r="G244" s="8">
        <v>56</v>
      </c>
      <c r="H244" s="9">
        <v>25</v>
      </c>
      <c r="I244" s="10">
        <v>3</v>
      </c>
      <c r="J244" s="92">
        <v>66</v>
      </c>
      <c r="K244" s="10">
        <v>35</v>
      </c>
      <c r="L244" s="10">
        <v>3</v>
      </c>
      <c r="M244" s="8">
        <v>69</v>
      </c>
      <c r="N244" s="9">
        <v>29</v>
      </c>
      <c r="O244" s="10">
        <v>3</v>
      </c>
      <c r="P244" s="8">
        <v>61</v>
      </c>
      <c r="Q244" s="9">
        <v>31</v>
      </c>
      <c r="R244" s="10">
        <v>3</v>
      </c>
      <c r="S244" s="92">
        <f t="shared" si="84"/>
        <v>252</v>
      </c>
      <c r="T244" s="17">
        <f t="shared" si="85"/>
        <v>120</v>
      </c>
      <c r="U244" s="12">
        <v>24</v>
      </c>
      <c r="V244" s="35">
        <v>12</v>
      </c>
      <c r="W244" s="93">
        <f>I244+L244+O244+R244</f>
        <v>12</v>
      </c>
      <c r="X244" s="108"/>
    </row>
    <row r="245" spans="1:24" s="24" customFormat="1" ht="31.95" customHeight="1" x14ac:dyDescent="0.25">
      <c r="A245" s="155" t="s">
        <v>145</v>
      </c>
      <c r="B245" s="20">
        <v>33</v>
      </c>
      <c r="C245" s="21" t="s">
        <v>57</v>
      </c>
      <c r="D245" s="280" t="s">
        <v>256</v>
      </c>
      <c r="E245" s="21" t="s">
        <v>18</v>
      </c>
      <c r="F245" s="155" t="s">
        <v>105</v>
      </c>
      <c r="G245" s="146">
        <v>49</v>
      </c>
      <c r="H245" s="145">
        <v>24</v>
      </c>
      <c r="I245" s="155">
        <v>2</v>
      </c>
      <c r="J245" s="154">
        <v>26</v>
      </c>
      <c r="K245" s="155">
        <v>14</v>
      </c>
      <c r="L245" s="155">
        <v>1</v>
      </c>
      <c r="M245" s="146">
        <v>47</v>
      </c>
      <c r="N245" s="145">
        <v>30</v>
      </c>
      <c r="O245" s="155">
        <v>2</v>
      </c>
      <c r="P245" s="146">
        <v>39</v>
      </c>
      <c r="Q245" s="145">
        <v>14</v>
      </c>
      <c r="R245" s="155">
        <v>2</v>
      </c>
      <c r="S245" s="77">
        <f t="shared" si="84"/>
        <v>161</v>
      </c>
      <c r="T245" s="78">
        <f t="shared" si="85"/>
        <v>82</v>
      </c>
      <c r="U245" s="79">
        <v>17</v>
      </c>
      <c r="V245" s="23">
        <v>4</v>
      </c>
      <c r="W245" s="80">
        <f>I245+L245+O245+R245</f>
        <v>7</v>
      </c>
      <c r="X245" s="13"/>
    </row>
    <row r="246" spans="1:24" s="24" customFormat="1" ht="31.95" customHeight="1" x14ac:dyDescent="0.25">
      <c r="A246" s="155" t="s">
        <v>145</v>
      </c>
      <c r="B246" s="20">
        <v>34</v>
      </c>
      <c r="C246" s="21" t="s">
        <v>54</v>
      </c>
      <c r="D246" s="280" t="s">
        <v>254</v>
      </c>
      <c r="E246" s="21" t="s">
        <v>15</v>
      </c>
      <c r="F246" s="155" t="s">
        <v>105</v>
      </c>
      <c r="G246" s="146">
        <v>72</v>
      </c>
      <c r="H246" s="145">
        <v>34</v>
      </c>
      <c r="I246" s="155">
        <v>3</v>
      </c>
      <c r="J246" s="154">
        <v>68</v>
      </c>
      <c r="K246" s="155">
        <v>35</v>
      </c>
      <c r="L246" s="155">
        <v>3</v>
      </c>
      <c r="M246" s="146">
        <v>51</v>
      </c>
      <c r="N246" s="145">
        <v>30</v>
      </c>
      <c r="O246" s="155">
        <v>2</v>
      </c>
      <c r="P246" s="146">
        <v>49</v>
      </c>
      <c r="Q246" s="145">
        <v>21</v>
      </c>
      <c r="R246" s="155">
        <v>2</v>
      </c>
      <c r="S246" s="77">
        <f t="shared" si="84"/>
        <v>240</v>
      </c>
      <c r="T246" s="78">
        <f t="shared" si="85"/>
        <v>120</v>
      </c>
      <c r="U246" s="79">
        <v>16</v>
      </c>
      <c r="V246" s="23">
        <v>7</v>
      </c>
      <c r="W246" s="80">
        <f>I246+L246+O246+R246</f>
        <v>10</v>
      </c>
      <c r="X246" s="13"/>
    </row>
    <row r="247" spans="1:24" s="24" customFormat="1" ht="31.95" customHeight="1" thickBot="1" x14ac:dyDescent="0.3">
      <c r="A247" s="36" t="s">
        <v>145</v>
      </c>
      <c r="B247" s="351" t="s">
        <v>93</v>
      </c>
      <c r="C247" s="352"/>
      <c r="D247" s="352"/>
      <c r="E247" s="352"/>
      <c r="F247" s="353"/>
      <c r="G247" s="40">
        <f t="shared" ref="G247:H247" si="102">SUM(G243:G246)</f>
        <v>211</v>
      </c>
      <c r="H247" s="64">
        <f t="shared" si="102"/>
        <v>101</v>
      </c>
      <c r="I247" s="81">
        <f t="shared" ref="I247:W247" si="103">SUM(I243:I246)</f>
        <v>10</v>
      </c>
      <c r="J247" s="27">
        <v>204</v>
      </c>
      <c r="K247" s="81">
        <v>107</v>
      </c>
      <c r="L247" s="81">
        <f t="shared" si="103"/>
        <v>9</v>
      </c>
      <c r="M247" s="26">
        <f t="shared" si="103"/>
        <v>219</v>
      </c>
      <c r="N247" s="64">
        <f t="shared" si="103"/>
        <v>114</v>
      </c>
      <c r="O247" s="81">
        <f t="shared" si="103"/>
        <v>9</v>
      </c>
      <c r="P247" s="26">
        <f t="shared" si="103"/>
        <v>186</v>
      </c>
      <c r="Q247" s="64">
        <f t="shared" si="103"/>
        <v>82</v>
      </c>
      <c r="R247" s="81">
        <f t="shared" si="103"/>
        <v>9</v>
      </c>
      <c r="S247" s="82">
        <f t="shared" si="84"/>
        <v>820</v>
      </c>
      <c r="T247" s="83">
        <f t="shared" si="85"/>
        <v>404</v>
      </c>
      <c r="U247" s="25">
        <f t="shared" si="103"/>
        <v>66</v>
      </c>
      <c r="V247" s="84">
        <f t="shared" si="103"/>
        <v>24</v>
      </c>
      <c r="W247" s="85">
        <f t="shared" si="103"/>
        <v>37</v>
      </c>
      <c r="X247" s="13"/>
    </row>
    <row r="248" spans="1:24" s="24" customFormat="1" ht="30" customHeight="1" x14ac:dyDescent="0.25">
      <c r="A248" s="155" t="s">
        <v>145</v>
      </c>
      <c r="B248" s="20">
        <v>45</v>
      </c>
      <c r="C248" s="21" t="s">
        <v>65</v>
      </c>
      <c r="D248" s="280" t="s">
        <v>257</v>
      </c>
      <c r="E248" s="21" t="s">
        <v>25</v>
      </c>
      <c r="F248" s="155" t="s">
        <v>105</v>
      </c>
      <c r="G248" s="146">
        <v>45</v>
      </c>
      <c r="H248" s="145">
        <v>12</v>
      </c>
      <c r="I248" s="155">
        <v>2</v>
      </c>
      <c r="J248" s="154">
        <v>37</v>
      </c>
      <c r="K248" s="155">
        <v>13</v>
      </c>
      <c r="L248" s="155">
        <v>2</v>
      </c>
      <c r="M248" s="146">
        <v>44</v>
      </c>
      <c r="N248" s="145">
        <v>18</v>
      </c>
      <c r="O248" s="155">
        <v>2</v>
      </c>
      <c r="P248" s="146">
        <v>40</v>
      </c>
      <c r="Q248" s="145">
        <v>26</v>
      </c>
      <c r="R248" s="155">
        <v>2</v>
      </c>
      <c r="S248" s="77">
        <f t="shared" si="84"/>
        <v>166</v>
      </c>
      <c r="T248" s="78">
        <f t="shared" si="85"/>
        <v>69</v>
      </c>
      <c r="U248" s="79">
        <v>8</v>
      </c>
      <c r="V248" s="23">
        <v>5</v>
      </c>
      <c r="W248" s="80">
        <f>I248+L248+O248+R248</f>
        <v>8</v>
      </c>
      <c r="X248" s="13"/>
    </row>
    <row r="249" spans="1:24" s="38" customFormat="1" ht="30" customHeight="1" x14ac:dyDescent="0.25">
      <c r="A249" s="10" t="s">
        <v>145</v>
      </c>
      <c r="B249" s="33">
        <v>45</v>
      </c>
      <c r="C249" s="34" t="s">
        <v>65</v>
      </c>
      <c r="D249" s="280" t="s">
        <v>258</v>
      </c>
      <c r="E249" s="21" t="s">
        <v>43</v>
      </c>
      <c r="F249" s="155" t="s">
        <v>107</v>
      </c>
      <c r="G249" s="8">
        <v>50</v>
      </c>
      <c r="H249" s="9">
        <v>30</v>
      </c>
      <c r="I249" s="10">
        <v>2</v>
      </c>
      <c r="J249" s="92">
        <v>33</v>
      </c>
      <c r="K249" s="10">
        <v>14</v>
      </c>
      <c r="L249" s="10">
        <v>2</v>
      </c>
      <c r="M249" s="8">
        <v>40</v>
      </c>
      <c r="N249" s="17">
        <v>21</v>
      </c>
      <c r="O249" s="10">
        <v>2</v>
      </c>
      <c r="P249" s="8">
        <v>43</v>
      </c>
      <c r="Q249" s="9">
        <v>13</v>
      </c>
      <c r="R249" s="10">
        <v>2</v>
      </c>
      <c r="S249" s="92">
        <f t="shared" si="84"/>
        <v>166</v>
      </c>
      <c r="T249" s="17">
        <f t="shared" si="85"/>
        <v>78</v>
      </c>
      <c r="U249" s="12">
        <v>13</v>
      </c>
      <c r="V249" s="35">
        <v>6</v>
      </c>
      <c r="W249" s="93">
        <f>I249+L249+O249+R249</f>
        <v>8</v>
      </c>
      <c r="X249" s="108"/>
    </row>
    <row r="250" spans="1:24" s="24" customFormat="1" ht="30" customHeight="1" x14ac:dyDescent="0.25">
      <c r="A250" s="155" t="s">
        <v>145</v>
      </c>
      <c r="B250" s="20">
        <v>46</v>
      </c>
      <c r="C250" s="21" t="s">
        <v>73</v>
      </c>
      <c r="D250" s="280" t="s">
        <v>259</v>
      </c>
      <c r="E250" s="21" t="s">
        <v>30</v>
      </c>
      <c r="F250" s="155" t="s">
        <v>105</v>
      </c>
      <c r="G250" s="146">
        <v>72</v>
      </c>
      <c r="H250" s="145">
        <v>37</v>
      </c>
      <c r="I250" s="155">
        <v>3</v>
      </c>
      <c r="J250" s="154">
        <v>67</v>
      </c>
      <c r="K250" s="155">
        <v>39</v>
      </c>
      <c r="L250" s="155">
        <v>3</v>
      </c>
      <c r="M250" s="146">
        <v>74</v>
      </c>
      <c r="N250" s="145">
        <v>32</v>
      </c>
      <c r="O250" s="155">
        <v>3</v>
      </c>
      <c r="P250" s="146">
        <v>69</v>
      </c>
      <c r="Q250" s="145">
        <v>43</v>
      </c>
      <c r="R250" s="155">
        <v>3</v>
      </c>
      <c r="S250" s="77">
        <f t="shared" si="84"/>
        <v>282</v>
      </c>
      <c r="T250" s="78">
        <f t="shared" si="85"/>
        <v>151</v>
      </c>
      <c r="U250" s="79">
        <v>32</v>
      </c>
      <c r="V250" s="23">
        <v>18</v>
      </c>
      <c r="W250" s="80">
        <f>I250+L250+O250+R250</f>
        <v>12</v>
      </c>
      <c r="X250" s="13"/>
    </row>
    <row r="251" spans="1:24" s="24" customFormat="1" ht="30" customHeight="1" x14ac:dyDescent="0.25">
      <c r="A251" s="155" t="s">
        <v>145</v>
      </c>
      <c r="B251" s="20">
        <v>47</v>
      </c>
      <c r="C251" s="21" t="s">
        <v>53</v>
      </c>
      <c r="D251" s="280" t="s">
        <v>260</v>
      </c>
      <c r="E251" s="21" t="s">
        <v>133</v>
      </c>
      <c r="F251" s="155" t="s">
        <v>105</v>
      </c>
      <c r="G251" s="146">
        <v>63</v>
      </c>
      <c r="H251" s="145">
        <v>26</v>
      </c>
      <c r="I251" s="155">
        <v>3</v>
      </c>
      <c r="J251" s="154">
        <v>81</v>
      </c>
      <c r="K251" s="155">
        <v>24</v>
      </c>
      <c r="L251" s="155">
        <v>3</v>
      </c>
      <c r="M251" s="146">
        <v>51</v>
      </c>
      <c r="N251" s="145">
        <v>28</v>
      </c>
      <c r="O251" s="155">
        <v>2</v>
      </c>
      <c r="P251" s="146">
        <v>42</v>
      </c>
      <c r="Q251" s="145">
        <v>18</v>
      </c>
      <c r="R251" s="155">
        <v>2</v>
      </c>
      <c r="S251" s="77">
        <f t="shared" si="84"/>
        <v>237</v>
      </c>
      <c r="T251" s="78">
        <f t="shared" si="85"/>
        <v>96</v>
      </c>
      <c r="U251" s="79">
        <v>16</v>
      </c>
      <c r="V251" s="23">
        <v>4</v>
      </c>
      <c r="W251" s="80">
        <f>I251+L251+O251+R251</f>
        <v>10</v>
      </c>
      <c r="X251" s="13"/>
    </row>
    <row r="252" spans="1:24" s="24" customFormat="1" ht="30" customHeight="1" thickBot="1" x14ac:dyDescent="0.3">
      <c r="A252" s="149" t="s">
        <v>145</v>
      </c>
      <c r="B252" s="351" t="s">
        <v>94</v>
      </c>
      <c r="C252" s="352"/>
      <c r="D252" s="352"/>
      <c r="E252" s="352"/>
      <c r="F252" s="353"/>
      <c r="G252" s="40">
        <f t="shared" ref="G252:H252" si="104">SUM(G248:G251)</f>
        <v>230</v>
      </c>
      <c r="H252" s="64">
        <f t="shared" si="104"/>
        <v>105</v>
      </c>
      <c r="I252" s="81">
        <f t="shared" ref="I252:W252" si="105">SUM(I248:I251)</f>
        <v>10</v>
      </c>
      <c r="J252" s="27">
        <v>218</v>
      </c>
      <c r="K252" s="81">
        <v>90</v>
      </c>
      <c r="L252" s="81">
        <f t="shared" si="105"/>
        <v>10</v>
      </c>
      <c r="M252" s="26">
        <f t="shared" si="105"/>
        <v>209</v>
      </c>
      <c r="N252" s="64">
        <f t="shared" si="105"/>
        <v>99</v>
      </c>
      <c r="O252" s="81">
        <f t="shared" si="105"/>
        <v>9</v>
      </c>
      <c r="P252" s="26">
        <f t="shared" si="105"/>
        <v>194</v>
      </c>
      <c r="Q252" s="64">
        <f t="shared" si="105"/>
        <v>100</v>
      </c>
      <c r="R252" s="81">
        <f t="shared" si="105"/>
        <v>9</v>
      </c>
      <c r="S252" s="82">
        <f t="shared" si="84"/>
        <v>851</v>
      </c>
      <c r="T252" s="83">
        <f t="shared" si="85"/>
        <v>394</v>
      </c>
      <c r="U252" s="25">
        <f t="shared" si="105"/>
        <v>69</v>
      </c>
      <c r="V252" s="84">
        <f t="shared" si="105"/>
        <v>33</v>
      </c>
      <c r="W252" s="85">
        <f t="shared" si="105"/>
        <v>38</v>
      </c>
      <c r="X252" s="13"/>
    </row>
    <row r="253" spans="1:24" s="24" customFormat="1" ht="30" customHeight="1" thickBot="1" x14ac:dyDescent="0.3">
      <c r="A253" s="43" t="s">
        <v>145</v>
      </c>
      <c r="B253" s="348" t="s">
        <v>95</v>
      </c>
      <c r="C253" s="349"/>
      <c r="D253" s="349"/>
      <c r="E253" s="349"/>
      <c r="F253" s="350"/>
      <c r="G253" s="40">
        <f t="shared" ref="G253:H253" si="106">G236+G242+G247+G252</f>
        <v>719</v>
      </c>
      <c r="H253" s="64">
        <f t="shared" si="106"/>
        <v>333</v>
      </c>
      <c r="I253" s="81">
        <f t="shared" ref="I253:W253" si="107">I236+I242+I247+I252</f>
        <v>32.25</v>
      </c>
      <c r="J253" s="27">
        <v>689</v>
      </c>
      <c r="K253" s="81">
        <v>331</v>
      </c>
      <c r="L253" s="94">
        <f t="shared" si="107"/>
        <v>31.25</v>
      </c>
      <c r="M253" s="26">
        <f t="shared" si="107"/>
        <v>692</v>
      </c>
      <c r="N253" s="64">
        <f t="shared" si="107"/>
        <v>348</v>
      </c>
      <c r="O253" s="81">
        <f t="shared" si="107"/>
        <v>29.25</v>
      </c>
      <c r="P253" s="26">
        <f t="shared" si="107"/>
        <v>669</v>
      </c>
      <c r="Q253" s="64">
        <f t="shared" si="107"/>
        <v>325</v>
      </c>
      <c r="R253" s="81">
        <f t="shared" si="107"/>
        <v>30.25</v>
      </c>
      <c r="S253" s="42">
        <f t="shared" si="84"/>
        <v>2769</v>
      </c>
      <c r="T253" s="95">
        <f t="shared" si="85"/>
        <v>1337</v>
      </c>
      <c r="U253" s="25">
        <f t="shared" si="107"/>
        <v>185</v>
      </c>
      <c r="V253" s="84">
        <f t="shared" si="107"/>
        <v>81</v>
      </c>
      <c r="W253" s="85">
        <f t="shared" si="107"/>
        <v>123</v>
      </c>
      <c r="X253" s="13"/>
    </row>
    <row r="254" spans="1:24" s="24" customFormat="1" ht="31.95" customHeight="1" x14ac:dyDescent="0.25">
      <c r="A254" s="44" t="s">
        <v>145</v>
      </c>
      <c r="B254" s="20">
        <v>51</v>
      </c>
      <c r="C254" s="21" t="s">
        <v>66</v>
      </c>
      <c r="D254" s="280" t="s">
        <v>261</v>
      </c>
      <c r="E254" s="21" t="s">
        <v>26</v>
      </c>
      <c r="F254" s="155" t="s">
        <v>105</v>
      </c>
      <c r="G254" s="146">
        <v>74</v>
      </c>
      <c r="H254" s="145">
        <v>39</v>
      </c>
      <c r="I254" s="155">
        <v>3</v>
      </c>
      <c r="J254" s="154">
        <v>64</v>
      </c>
      <c r="K254" s="155">
        <v>37</v>
      </c>
      <c r="L254" s="155">
        <v>3</v>
      </c>
      <c r="M254" s="146">
        <v>78</v>
      </c>
      <c r="N254" s="145">
        <v>34</v>
      </c>
      <c r="O254" s="155">
        <v>3</v>
      </c>
      <c r="P254" s="146">
        <v>71</v>
      </c>
      <c r="Q254" s="145">
        <v>28</v>
      </c>
      <c r="R254" s="155">
        <v>3</v>
      </c>
      <c r="S254" s="77">
        <f t="shared" si="84"/>
        <v>287</v>
      </c>
      <c r="T254" s="78">
        <f t="shared" si="85"/>
        <v>138</v>
      </c>
      <c r="U254" s="79">
        <v>53</v>
      </c>
      <c r="V254" s="23">
        <v>21</v>
      </c>
      <c r="W254" s="80">
        <f>I254+L254+O254+R254</f>
        <v>12</v>
      </c>
      <c r="X254" s="13"/>
    </row>
    <row r="255" spans="1:24" s="38" customFormat="1" ht="30" customHeight="1" x14ac:dyDescent="0.25">
      <c r="A255" s="10" t="s">
        <v>145</v>
      </c>
      <c r="B255" s="33">
        <v>51</v>
      </c>
      <c r="C255" s="34" t="s">
        <v>66</v>
      </c>
      <c r="D255" s="280" t="s">
        <v>263</v>
      </c>
      <c r="E255" s="21" t="s">
        <v>41</v>
      </c>
      <c r="F255" s="155" t="s">
        <v>107</v>
      </c>
      <c r="G255" s="8">
        <v>81</v>
      </c>
      <c r="H255" s="9">
        <v>36</v>
      </c>
      <c r="I255" s="10">
        <v>3</v>
      </c>
      <c r="J255" s="92">
        <v>81</v>
      </c>
      <c r="K255" s="10">
        <v>45</v>
      </c>
      <c r="L255" s="10">
        <v>3</v>
      </c>
      <c r="M255" s="8">
        <v>64</v>
      </c>
      <c r="N255" s="9">
        <v>31</v>
      </c>
      <c r="O255" s="10">
        <v>3</v>
      </c>
      <c r="P255" s="8">
        <v>77</v>
      </c>
      <c r="Q255" s="9">
        <v>29</v>
      </c>
      <c r="R255" s="10">
        <v>3</v>
      </c>
      <c r="S255" s="92">
        <f t="shared" si="84"/>
        <v>303</v>
      </c>
      <c r="T255" s="17">
        <f t="shared" si="85"/>
        <v>141</v>
      </c>
      <c r="U255" s="12">
        <v>10</v>
      </c>
      <c r="V255" s="35">
        <v>3</v>
      </c>
      <c r="W255" s="93">
        <f>I255+L255+O255+R255</f>
        <v>12</v>
      </c>
      <c r="X255" s="108"/>
    </row>
    <row r="256" spans="1:24" s="38" customFormat="1" ht="30" customHeight="1" x14ac:dyDescent="0.25">
      <c r="A256" s="10" t="s">
        <v>145</v>
      </c>
      <c r="B256" s="33">
        <v>51</v>
      </c>
      <c r="C256" s="34" t="s">
        <v>66</v>
      </c>
      <c r="D256" s="280" t="s">
        <v>262</v>
      </c>
      <c r="E256" s="21" t="s">
        <v>144</v>
      </c>
      <c r="F256" s="155" t="s">
        <v>106</v>
      </c>
      <c r="G256" s="91">
        <v>96</v>
      </c>
      <c r="H256" s="17">
        <v>49</v>
      </c>
      <c r="I256" s="10">
        <v>4</v>
      </c>
      <c r="J256" s="92">
        <v>92</v>
      </c>
      <c r="K256" s="10">
        <v>41</v>
      </c>
      <c r="L256" s="10">
        <v>4</v>
      </c>
      <c r="M256" s="91">
        <v>113</v>
      </c>
      <c r="N256" s="17">
        <v>58</v>
      </c>
      <c r="O256" s="10">
        <v>4</v>
      </c>
      <c r="P256" s="91">
        <v>101</v>
      </c>
      <c r="Q256" s="17">
        <v>58</v>
      </c>
      <c r="R256" s="10">
        <v>4</v>
      </c>
      <c r="S256" s="92">
        <f t="shared" si="84"/>
        <v>402</v>
      </c>
      <c r="T256" s="17">
        <f t="shared" si="85"/>
        <v>206</v>
      </c>
      <c r="U256" s="12">
        <v>26</v>
      </c>
      <c r="V256" s="35">
        <v>12</v>
      </c>
      <c r="W256" s="93">
        <f>I256+L256+O256+R256</f>
        <v>16</v>
      </c>
      <c r="X256" s="108"/>
    </row>
    <row r="257" spans="1:24" s="24" customFormat="1" ht="30" customHeight="1" x14ac:dyDescent="0.25">
      <c r="A257" s="155" t="s">
        <v>145</v>
      </c>
      <c r="B257" s="20">
        <v>52</v>
      </c>
      <c r="C257" s="21" t="s">
        <v>72</v>
      </c>
      <c r="D257" s="280" t="s">
        <v>264</v>
      </c>
      <c r="E257" s="21" t="s">
        <v>29</v>
      </c>
      <c r="F257" s="155" t="s">
        <v>105</v>
      </c>
      <c r="G257" s="146">
        <v>47</v>
      </c>
      <c r="H257" s="145">
        <v>23</v>
      </c>
      <c r="I257" s="155">
        <v>2</v>
      </c>
      <c r="J257" s="154">
        <v>49</v>
      </c>
      <c r="K257" s="155">
        <v>24</v>
      </c>
      <c r="L257" s="155">
        <v>2</v>
      </c>
      <c r="M257" s="146">
        <v>53</v>
      </c>
      <c r="N257" s="145">
        <v>27</v>
      </c>
      <c r="O257" s="155">
        <v>2</v>
      </c>
      <c r="P257" s="146">
        <v>52</v>
      </c>
      <c r="Q257" s="145">
        <v>22</v>
      </c>
      <c r="R257" s="155">
        <v>2</v>
      </c>
      <c r="S257" s="77">
        <f t="shared" si="84"/>
        <v>201</v>
      </c>
      <c r="T257" s="78">
        <f t="shared" si="85"/>
        <v>96</v>
      </c>
      <c r="U257" s="79">
        <v>12</v>
      </c>
      <c r="V257" s="23">
        <v>6</v>
      </c>
      <c r="W257" s="80">
        <f>I257+L257+O257+R257</f>
        <v>8</v>
      </c>
      <c r="X257" s="13"/>
    </row>
    <row r="258" spans="1:24" s="38" customFormat="1" ht="30" customHeight="1" x14ac:dyDescent="0.25">
      <c r="A258" s="10" t="s">
        <v>145</v>
      </c>
      <c r="B258" s="33">
        <v>54</v>
      </c>
      <c r="C258" s="34" t="s">
        <v>89</v>
      </c>
      <c r="D258" s="280" t="s">
        <v>265</v>
      </c>
      <c r="E258" s="21" t="s">
        <v>111</v>
      </c>
      <c r="F258" s="155" t="s">
        <v>107</v>
      </c>
      <c r="G258" s="8">
        <v>40</v>
      </c>
      <c r="H258" s="9">
        <v>19</v>
      </c>
      <c r="I258" s="10">
        <v>2</v>
      </c>
      <c r="J258" s="92">
        <v>39</v>
      </c>
      <c r="K258" s="10">
        <v>21</v>
      </c>
      <c r="L258" s="10">
        <v>2</v>
      </c>
      <c r="M258" s="8">
        <v>39</v>
      </c>
      <c r="N258" s="9">
        <v>23</v>
      </c>
      <c r="O258" s="10">
        <v>2</v>
      </c>
      <c r="P258" s="8">
        <v>25</v>
      </c>
      <c r="Q258" s="9">
        <v>13</v>
      </c>
      <c r="R258" s="10">
        <v>1</v>
      </c>
      <c r="S258" s="92">
        <f t="shared" si="84"/>
        <v>143</v>
      </c>
      <c r="T258" s="17">
        <f t="shared" si="85"/>
        <v>76</v>
      </c>
      <c r="U258" s="12">
        <v>7</v>
      </c>
      <c r="V258" s="35">
        <v>2</v>
      </c>
      <c r="W258" s="93">
        <f>I258+L258+O258+R258</f>
        <v>7</v>
      </c>
      <c r="X258" s="108"/>
    </row>
    <row r="259" spans="1:24" s="38" customFormat="1" ht="30" customHeight="1" x14ac:dyDescent="0.25">
      <c r="A259" s="10" t="s">
        <v>145</v>
      </c>
      <c r="B259" s="33">
        <v>56</v>
      </c>
      <c r="C259" s="34" t="s">
        <v>83</v>
      </c>
      <c r="D259" s="280" t="s">
        <v>266</v>
      </c>
      <c r="E259" s="21" t="s">
        <v>38</v>
      </c>
      <c r="F259" s="155" t="s">
        <v>107</v>
      </c>
      <c r="G259" s="8">
        <v>71</v>
      </c>
      <c r="H259" s="9">
        <v>36</v>
      </c>
      <c r="I259" s="10">
        <v>3</v>
      </c>
      <c r="J259" s="92">
        <v>85</v>
      </c>
      <c r="K259" s="10">
        <v>35</v>
      </c>
      <c r="L259" s="10">
        <v>4</v>
      </c>
      <c r="M259" s="8">
        <v>73</v>
      </c>
      <c r="N259" s="9">
        <v>34</v>
      </c>
      <c r="O259" s="10">
        <v>3</v>
      </c>
      <c r="P259" s="8">
        <v>72</v>
      </c>
      <c r="Q259" s="9">
        <v>32</v>
      </c>
      <c r="R259" s="10">
        <v>3</v>
      </c>
      <c r="S259" s="92">
        <f t="shared" si="84"/>
        <v>301</v>
      </c>
      <c r="T259" s="17">
        <f t="shared" si="85"/>
        <v>137</v>
      </c>
      <c r="U259" s="12">
        <v>29</v>
      </c>
      <c r="V259" s="35">
        <v>15</v>
      </c>
      <c r="W259" s="93">
        <f>I259+L259+O259+R259</f>
        <v>13</v>
      </c>
      <c r="X259" s="108"/>
    </row>
    <row r="260" spans="1:24" s="24" customFormat="1" ht="30" customHeight="1" x14ac:dyDescent="0.25">
      <c r="A260" s="155" t="s">
        <v>145</v>
      </c>
      <c r="B260" s="20">
        <v>57</v>
      </c>
      <c r="C260" s="21" t="s">
        <v>63</v>
      </c>
      <c r="D260" s="280" t="s">
        <v>267</v>
      </c>
      <c r="E260" s="21" t="s">
        <v>23</v>
      </c>
      <c r="F260" s="155" t="s">
        <v>105</v>
      </c>
      <c r="G260" s="146">
        <v>90</v>
      </c>
      <c r="H260" s="145">
        <v>45</v>
      </c>
      <c r="I260" s="155">
        <v>4</v>
      </c>
      <c r="J260" s="154">
        <v>96</v>
      </c>
      <c r="K260" s="155">
        <v>42</v>
      </c>
      <c r="L260" s="155">
        <v>4</v>
      </c>
      <c r="M260" s="146">
        <v>99</v>
      </c>
      <c r="N260" s="145">
        <v>43</v>
      </c>
      <c r="O260" s="155">
        <v>4</v>
      </c>
      <c r="P260" s="146">
        <v>82</v>
      </c>
      <c r="Q260" s="145">
        <v>38</v>
      </c>
      <c r="R260" s="155">
        <v>3</v>
      </c>
      <c r="S260" s="77">
        <f t="shared" si="84"/>
        <v>367</v>
      </c>
      <c r="T260" s="78">
        <f t="shared" si="85"/>
        <v>168</v>
      </c>
      <c r="U260" s="79">
        <v>21</v>
      </c>
      <c r="V260" s="23">
        <v>10</v>
      </c>
      <c r="W260" s="80">
        <f>I260+L260+O260+R260</f>
        <v>15</v>
      </c>
      <c r="X260" s="13"/>
    </row>
    <row r="261" spans="1:24" s="19" customFormat="1" ht="34.5" customHeight="1" x14ac:dyDescent="0.25">
      <c r="A261" s="155" t="s">
        <v>145</v>
      </c>
      <c r="B261" s="45">
        <v>58</v>
      </c>
      <c r="C261" s="46" t="s">
        <v>50</v>
      </c>
      <c r="D261" s="282" t="s">
        <v>268</v>
      </c>
      <c r="E261" s="46" t="s">
        <v>12</v>
      </c>
      <c r="F261" s="149" t="s">
        <v>105</v>
      </c>
      <c r="G261" s="146">
        <v>59</v>
      </c>
      <c r="H261" s="145">
        <v>33</v>
      </c>
      <c r="I261" s="155">
        <v>3</v>
      </c>
      <c r="J261" s="154">
        <v>49</v>
      </c>
      <c r="K261" s="155">
        <v>23</v>
      </c>
      <c r="L261" s="155">
        <v>2</v>
      </c>
      <c r="M261" s="146">
        <v>49</v>
      </c>
      <c r="N261" s="145">
        <v>23</v>
      </c>
      <c r="O261" s="155">
        <v>2</v>
      </c>
      <c r="P261" s="146">
        <v>45</v>
      </c>
      <c r="Q261" s="145">
        <v>15</v>
      </c>
      <c r="R261" s="155">
        <v>2</v>
      </c>
      <c r="S261" s="77">
        <f t="shared" si="84"/>
        <v>202</v>
      </c>
      <c r="T261" s="78">
        <f t="shared" si="85"/>
        <v>94</v>
      </c>
      <c r="U261" s="79">
        <v>5</v>
      </c>
      <c r="V261" s="23">
        <v>3</v>
      </c>
      <c r="W261" s="80">
        <f>I261+L261+O261+R261</f>
        <v>9</v>
      </c>
      <c r="X261" s="123"/>
    </row>
    <row r="262" spans="1:24" s="24" customFormat="1" ht="30" customHeight="1" thickBot="1" x14ac:dyDescent="0.3">
      <c r="A262" s="36" t="s">
        <v>145</v>
      </c>
      <c r="B262" s="351" t="s">
        <v>96</v>
      </c>
      <c r="C262" s="352"/>
      <c r="D262" s="352"/>
      <c r="E262" s="352"/>
      <c r="F262" s="353"/>
      <c r="G262" s="40">
        <f t="shared" ref="G262:H262" si="108">SUM(G254:G261)</f>
        <v>558</v>
      </c>
      <c r="H262" s="64">
        <f t="shared" si="108"/>
        <v>280</v>
      </c>
      <c r="I262" s="81">
        <f t="shared" ref="I262:W262" si="109">SUM(I254:I261)</f>
        <v>24</v>
      </c>
      <c r="J262" s="27">
        <v>555</v>
      </c>
      <c r="K262" s="81">
        <v>268</v>
      </c>
      <c r="L262" s="96">
        <f t="shared" si="109"/>
        <v>24</v>
      </c>
      <c r="M262" s="26">
        <f t="shared" si="109"/>
        <v>568</v>
      </c>
      <c r="N262" s="64">
        <f t="shared" si="109"/>
        <v>273</v>
      </c>
      <c r="O262" s="81">
        <f t="shared" si="109"/>
        <v>23</v>
      </c>
      <c r="P262" s="26">
        <f t="shared" si="109"/>
        <v>525</v>
      </c>
      <c r="Q262" s="64">
        <f t="shared" si="109"/>
        <v>235</v>
      </c>
      <c r="R262" s="81">
        <f t="shared" si="109"/>
        <v>21</v>
      </c>
      <c r="S262" s="42">
        <f t="shared" si="84"/>
        <v>2206</v>
      </c>
      <c r="T262" s="95">
        <f t="shared" si="85"/>
        <v>1056</v>
      </c>
      <c r="U262" s="25">
        <f t="shared" si="109"/>
        <v>163</v>
      </c>
      <c r="V262" s="84">
        <f t="shared" si="109"/>
        <v>72</v>
      </c>
      <c r="W262" s="85">
        <f t="shared" si="109"/>
        <v>92</v>
      </c>
      <c r="X262" s="13"/>
    </row>
    <row r="263" spans="1:24" s="38" customFormat="1" ht="30" customHeight="1" x14ac:dyDescent="0.25">
      <c r="A263" s="37" t="s">
        <v>145</v>
      </c>
      <c r="B263" s="33">
        <v>61</v>
      </c>
      <c r="C263" s="34" t="s">
        <v>69</v>
      </c>
      <c r="D263" s="280" t="s">
        <v>269</v>
      </c>
      <c r="E263" s="21" t="s">
        <v>139</v>
      </c>
      <c r="F263" s="155" t="s">
        <v>106</v>
      </c>
      <c r="G263" s="91">
        <v>48</v>
      </c>
      <c r="H263" s="17">
        <v>22</v>
      </c>
      <c r="I263" s="10">
        <v>2</v>
      </c>
      <c r="J263" s="92">
        <v>37</v>
      </c>
      <c r="K263" s="10">
        <v>18</v>
      </c>
      <c r="L263" s="10">
        <v>2</v>
      </c>
      <c r="M263" s="91">
        <v>46</v>
      </c>
      <c r="N263" s="17">
        <v>24</v>
      </c>
      <c r="O263" s="10">
        <v>2</v>
      </c>
      <c r="P263" s="91">
        <v>27</v>
      </c>
      <c r="Q263" s="17">
        <v>18</v>
      </c>
      <c r="R263" s="10">
        <v>1</v>
      </c>
      <c r="S263" s="92">
        <f t="shared" si="84"/>
        <v>158</v>
      </c>
      <c r="T263" s="17">
        <f t="shared" si="85"/>
        <v>82</v>
      </c>
      <c r="U263" s="12">
        <v>49</v>
      </c>
      <c r="V263" s="35">
        <v>24</v>
      </c>
      <c r="W263" s="93">
        <f>I263+L263+O263+R263</f>
        <v>7</v>
      </c>
      <c r="X263" s="108"/>
    </row>
    <row r="264" spans="1:24" s="24" customFormat="1" ht="30" customHeight="1" x14ac:dyDescent="0.25">
      <c r="A264" s="44" t="s">
        <v>145</v>
      </c>
      <c r="B264" s="20">
        <v>61</v>
      </c>
      <c r="C264" s="21" t="s">
        <v>69</v>
      </c>
      <c r="D264" s="280" t="s">
        <v>271</v>
      </c>
      <c r="E264" s="21" t="s">
        <v>146</v>
      </c>
      <c r="F264" s="155" t="s">
        <v>105</v>
      </c>
      <c r="G264" s="146">
        <v>46</v>
      </c>
      <c r="H264" s="145">
        <v>24</v>
      </c>
      <c r="I264" s="155">
        <v>3</v>
      </c>
      <c r="J264" s="154">
        <v>78</v>
      </c>
      <c r="K264" s="155">
        <v>36</v>
      </c>
      <c r="L264" s="155">
        <v>3</v>
      </c>
      <c r="M264" s="146">
        <v>66</v>
      </c>
      <c r="N264" s="145">
        <v>25</v>
      </c>
      <c r="O264" s="155">
        <v>3</v>
      </c>
      <c r="P264" s="146">
        <v>60</v>
      </c>
      <c r="Q264" s="145">
        <v>29</v>
      </c>
      <c r="R264" s="155">
        <v>3</v>
      </c>
      <c r="S264" s="77">
        <f t="shared" ref="S264:S327" si="110">G264+J264+M264+P264</f>
        <v>250</v>
      </c>
      <c r="T264" s="17">
        <f t="shared" ref="T264:T327" si="111">H264+K264+N264+Q264</f>
        <v>114</v>
      </c>
      <c r="U264" s="79">
        <v>41</v>
      </c>
      <c r="V264" s="23">
        <v>22</v>
      </c>
      <c r="W264" s="80">
        <f>I264+L264+O264+R264</f>
        <v>12</v>
      </c>
      <c r="X264" s="13"/>
    </row>
    <row r="265" spans="1:24" s="38" customFormat="1" ht="30" customHeight="1" x14ac:dyDescent="0.25">
      <c r="A265" s="29" t="s">
        <v>145</v>
      </c>
      <c r="B265" s="47">
        <v>62</v>
      </c>
      <c r="C265" s="48" t="s">
        <v>77</v>
      </c>
      <c r="D265" s="113" t="s">
        <v>272</v>
      </c>
      <c r="E265" s="11" t="s">
        <v>76</v>
      </c>
      <c r="F265" s="145" t="s">
        <v>106</v>
      </c>
      <c r="G265" s="91">
        <v>60</v>
      </c>
      <c r="H265" s="17">
        <v>37</v>
      </c>
      <c r="I265" s="10">
        <v>3</v>
      </c>
      <c r="J265" s="92">
        <v>62</v>
      </c>
      <c r="K265" s="17">
        <v>34</v>
      </c>
      <c r="L265" s="97">
        <v>3</v>
      </c>
      <c r="M265" s="91">
        <v>44</v>
      </c>
      <c r="N265" s="17">
        <v>21</v>
      </c>
      <c r="O265" s="10">
        <v>2</v>
      </c>
      <c r="P265" s="91">
        <v>50</v>
      </c>
      <c r="Q265" s="17">
        <v>26</v>
      </c>
      <c r="R265" s="10">
        <v>2</v>
      </c>
      <c r="S265" s="91">
        <f t="shared" si="110"/>
        <v>216</v>
      </c>
      <c r="T265" s="17">
        <f t="shared" si="111"/>
        <v>118</v>
      </c>
      <c r="U265" s="12">
        <v>13</v>
      </c>
      <c r="V265" s="35">
        <v>7</v>
      </c>
      <c r="W265" s="93">
        <f>I265+L265+O265+R265</f>
        <v>10</v>
      </c>
      <c r="X265" s="108"/>
    </row>
    <row r="266" spans="1:24" s="38" customFormat="1" ht="30" customHeight="1" x14ac:dyDescent="0.25">
      <c r="A266" s="10" t="s">
        <v>145</v>
      </c>
      <c r="B266" s="47">
        <v>63</v>
      </c>
      <c r="C266" s="48" t="s">
        <v>80</v>
      </c>
      <c r="D266" s="113" t="s">
        <v>273</v>
      </c>
      <c r="E266" s="11" t="s">
        <v>110</v>
      </c>
      <c r="F266" s="145" t="s">
        <v>107</v>
      </c>
      <c r="G266" s="8">
        <v>36</v>
      </c>
      <c r="H266" s="9">
        <v>16</v>
      </c>
      <c r="I266" s="10">
        <v>2</v>
      </c>
      <c r="J266" s="92">
        <v>53</v>
      </c>
      <c r="K266" s="17">
        <v>25</v>
      </c>
      <c r="L266" s="97">
        <v>2</v>
      </c>
      <c r="M266" s="8">
        <v>54</v>
      </c>
      <c r="N266" s="9">
        <v>27</v>
      </c>
      <c r="O266" s="10">
        <v>2</v>
      </c>
      <c r="P266" s="8">
        <v>45</v>
      </c>
      <c r="Q266" s="9">
        <v>22</v>
      </c>
      <c r="R266" s="10">
        <v>2</v>
      </c>
      <c r="S266" s="91">
        <f t="shared" si="110"/>
        <v>188</v>
      </c>
      <c r="T266" s="17">
        <f t="shared" si="111"/>
        <v>90</v>
      </c>
      <c r="U266" s="12">
        <v>26</v>
      </c>
      <c r="V266" s="35">
        <v>12</v>
      </c>
      <c r="W266" s="93">
        <f>I266+L266+O266+R266</f>
        <v>8</v>
      </c>
      <c r="X266" s="108"/>
    </row>
    <row r="267" spans="1:24" s="38" customFormat="1" ht="30" customHeight="1" x14ac:dyDescent="0.25">
      <c r="A267" s="10" t="s">
        <v>145</v>
      </c>
      <c r="B267" s="47">
        <v>63</v>
      </c>
      <c r="C267" s="48" t="s">
        <v>80</v>
      </c>
      <c r="D267" s="113" t="s">
        <v>274</v>
      </c>
      <c r="E267" s="11" t="s">
        <v>131</v>
      </c>
      <c r="F267" s="145" t="s">
        <v>107</v>
      </c>
      <c r="G267" s="8">
        <v>50</v>
      </c>
      <c r="H267" s="9">
        <v>20</v>
      </c>
      <c r="I267" s="10">
        <v>2</v>
      </c>
      <c r="J267" s="92">
        <v>62</v>
      </c>
      <c r="K267" s="17">
        <v>29</v>
      </c>
      <c r="L267" s="97">
        <v>3</v>
      </c>
      <c r="M267" s="8">
        <v>70</v>
      </c>
      <c r="N267" s="9">
        <v>41</v>
      </c>
      <c r="O267" s="10">
        <v>3</v>
      </c>
      <c r="P267" s="8">
        <v>61</v>
      </c>
      <c r="Q267" s="9">
        <v>25</v>
      </c>
      <c r="R267" s="10">
        <v>3</v>
      </c>
      <c r="S267" s="91">
        <f t="shared" si="110"/>
        <v>243</v>
      </c>
      <c r="T267" s="17">
        <f t="shared" si="111"/>
        <v>115</v>
      </c>
      <c r="U267" s="12">
        <v>73</v>
      </c>
      <c r="V267" s="35">
        <v>33</v>
      </c>
      <c r="W267" s="93">
        <f>I267+L267+O267+R267</f>
        <v>11</v>
      </c>
      <c r="X267" s="108"/>
    </row>
    <row r="268" spans="1:24" s="24" customFormat="1" ht="31.95" customHeight="1" x14ac:dyDescent="0.25">
      <c r="A268" s="155" t="s">
        <v>145</v>
      </c>
      <c r="B268" s="163">
        <v>68</v>
      </c>
      <c r="C268" s="49" t="s">
        <v>56</v>
      </c>
      <c r="D268" s="283" t="s">
        <v>275</v>
      </c>
      <c r="E268" s="49" t="s">
        <v>17</v>
      </c>
      <c r="F268" s="152" t="s">
        <v>105</v>
      </c>
      <c r="G268" s="146">
        <v>30</v>
      </c>
      <c r="H268" s="145">
        <v>16</v>
      </c>
      <c r="I268" s="155">
        <v>2</v>
      </c>
      <c r="J268" s="154">
        <v>32</v>
      </c>
      <c r="K268" s="145">
        <v>16</v>
      </c>
      <c r="L268" s="157">
        <v>1</v>
      </c>
      <c r="M268" s="146">
        <v>35</v>
      </c>
      <c r="N268" s="145">
        <v>18</v>
      </c>
      <c r="O268" s="155">
        <v>2</v>
      </c>
      <c r="P268" s="146">
        <v>25</v>
      </c>
      <c r="Q268" s="145">
        <v>13</v>
      </c>
      <c r="R268" s="155">
        <v>1</v>
      </c>
      <c r="S268" s="98">
        <f t="shared" si="110"/>
        <v>122</v>
      </c>
      <c r="T268" s="78">
        <f t="shared" si="111"/>
        <v>63</v>
      </c>
      <c r="U268" s="79">
        <v>4</v>
      </c>
      <c r="V268" s="23">
        <v>2</v>
      </c>
      <c r="W268" s="80">
        <f>I268+L268+O268+R268</f>
        <v>6</v>
      </c>
      <c r="X268" s="13"/>
    </row>
    <row r="269" spans="1:24" s="24" customFormat="1" ht="30" customHeight="1" thickBot="1" x14ac:dyDescent="0.3">
      <c r="A269" s="36" t="s">
        <v>145</v>
      </c>
      <c r="B269" s="351" t="s">
        <v>98</v>
      </c>
      <c r="C269" s="352"/>
      <c r="D269" s="352"/>
      <c r="E269" s="352"/>
      <c r="F269" s="353"/>
      <c r="G269" s="40">
        <f t="shared" ref="G269:H269" si="112">SUM(G263:G268)</f>
        <v>270</v>
      </c>
      <c r="H269" s="64">
        <f t="shared" si="112"/>
        <v>135</v>
      </c>
      <c r="I269" s="81">
        <f t="shared" ref="I269:W269" si="113">SUM(I263:I268)</f>
        <v>14</v>
      </c>
      <c r="J269" s="27">
        <v>324</v>
      </c>
      <c r="K269" s="64">
        <v>158</v>
      </c>
      <c r="L269" s="289">
        <f t="shared" si="113"/>
        <v>14</v>
      </c>
      <c r="M269" s="26">
        <f t="shared" si="113"/>
        <v>315</v>
      </c>
      <c r="N269" s="64">
        <f t="shared" si="113"/>
        <v>156</v>
      </c>
      <c r="O269" s="81">
        <f t="shared" si="113"/>
        <v>14</v>
      </c>
      <c r="P269" s="26">
        <f t="shared" si="113"/>
        <v>268</v>
      </c>
      <c r="Q269" s="64">
        <f t="shared" si="113"/>
        <v>133</v>
      </c>
      <c r="R269" s="81">
        <f t="shared" si="113"/>
        <v>12</v>
      </c>
      <c r="S269" s="42">
        <f t="shared" si="110"/>
        <v>1177</v>
      </c>
      <c r="T269" s="95">
        <f t="shared" si="111"/>
        <v>582</v>
      </c>
      <c r="U269" s="25">
        <f t="shared" si="113"/>
        <v>206</v>
      </c>
      <c r="V269" s="84">
        <f t="shared" si="113"/>
        <v>100</v>
      </c>
      <c r="W269" s="85">
        <f t="shared" si="113"/>
        <v>54</v>
      </c>
      <c r="X269" s="13"/>
    </row>
    <row r="270" spans="1:24" s="38" customFormat="1" ht="30" customHeight="1" x14ac:dyDescent="0.25">
      <c r="A270" s="10" t="s">
        <v>145</v>
      </c>
      <c r="B270" s="47">
        <v>71</v>
      </c>
      <c r="C270" s="48" t="s">
        <v>71</v>
      </c>
      <c r="D270" s="113" t="s">
        <v>276</v>
      </c>
      <c r="E270" s="11" t="s">
        <v>39</v>
      </c>
      <c r="F270" s="145" t="s">
        <v>107</v>
      </c>
      <c r="G270" s="8">
        <v>56</v>
      </c>
      <c r="H270" s="9">
        <v>22</v>
      </c>
      <c r="I270" s="10">
        <v>2</v>
      </c>
      <c r="J270" s="92">
        <v>44</v>
      </c>
      <c r="K270" s="17">
        <v>22</v>
      </c>
      <c r="L270" s="97">
        <v>2</v>
      </c>
      <c r="M270" s="8">
        <v>38</v>
      </c>
      <c r="N270" s="9">
        <v>17</v>
      </c>
      <c r="O270" s="10">
        <v>2</v>
      </c>
      <c r="P270" s="8">
        <v>39</v>
      </c>
      <c r="Q270" s="9">
        <v>15</v>
      </c>
      <c r="R270" s="10">
        <v>2</v>
      </c>
      <c r="S270" s="91">
        <f t="shared" si="110"/>
        <v>177</v>
      </c>
      <c r="T270" s="17">
        <f t="shared" si="111"/>
        <v>76</v>
      </c>
      <c r="U270" s="12">
        <v>5</v>
      </c>
      <c r="V270" s="35">
        <v>2</v>
      </c>
      <c r="W270" s="99">
        <f>I270+L270+O270+R270</f>
        <v>8</v>
      </c>
      <c r="X270" s="108"/>
    </row>
    <row r="271" spans="1:24" s="24" customFormat="1" ht="30" customHeight="1" x14ac:dyDescent="0.25">
      <c r="A271" s="155" t="s">
        <v>145</v>
      </c>
      <c r="B271" s="39">
        <v>71</v>
      </c>
      <c r="C271" s="11" t="s">
        <v>71</v>
      </c>
      <c r="D271" s="113" t="s">
        <v>278</v>
      </c>
      <c r="E271" s="11" t="s">
        <v>28</v>
      </c>
      <c r="F271" s="145" t="s">
        <v>105</v>
      </c>
      <c r="G271" s="146">
        <v>29</v>
      </c>
      <c r="H271" s="145">
        <v>15</v>
      </c>
      <c r="I271" s="155">
        <v>1</v>
      </c>
      <c r="J271" s="154">
        <v>25</v>
      </c>
      <c r="K271" s="145">
        <v>11</v>
      </c>
      <c r="L271" s="157">
        <v>1</v>
      </c>
      <c r="M271" s="146">
        <v>29</v>
      </c>
      <c r="N271" s="145">
        <v>9</v>
      </c>
      <c r="O271" s="155">
        <v>1</v>
      </c>
      <c r="P271" s="146">
        <v>23</v>
      </c>
      <c r="Q271" s="145">
        <v>7</v>
      </c>
      <c r="R271" s="155">
        <v>1</v>
      </c>
      <c r="S271" s="98">
        <f t="shared" si="110"/>
        <v>106</v>
      </c>
      <c r="T271" s="78">
        <f t="shared" si="111"/>
        <v>42</v>
      </c>
      <c r="U271" s="79">
        <v>1</v>
      </c>
      <c r="V271" s="23">
        <v>1</v>
      </c>
      <c r="W271" s="284">
        <f>I271+L271+O271+R271</f>
        <v>4</v>
      </c>
      <c r="X271" s="13"/>
    </row>
    <row r="272" spans="1:24" s="19" customFormat="1" ht="30" customHeight="1" thickBot="1" x14ac:dyDescent="0.3">
      <c r="A272" s="50" t="s">
        <v>145</v>
      </c>
      <c r="B272" s="47">
        <v>76</v>
      </c>
      <c r="C272" s="48" t="s">
        <v>78</v>
      </c>
      <c r="D272" s="113" t="s">
        <v>279</v>
      </c>
      <c r="E272" s="11" t="s">
        <v>128</v>
      </c>
      <c r="F272" s="145" t="s">
        <v>107</v>
      </c>
      <c r="G272" s="8">
        <v>29</v>
      </c>
      <c r="H272" s="9">
        <v>12</v>
      </c>
      <c r="I272" s="10">
        <v>1</v>
      </c>
      <c r="J272" s="92">
        <v>28</v>
      </c>
      <c r="K272" s="17">
        <v>16</v>
      </c>
      <c r="L272" s="97">
        <v>1</v>
      </c>
      <c r="M272" s="100">
        <v>26</v>
      </c>
      <c r="N272" s="9">
        <v>11</v>
      </c>
      <c r="O272" s="10">
        <v>1</v>
      </c>
      <c r="P272" s="8">
        <v>29</v>
      </c>
      <c r="Q272" s="9">
        <v>15</v>
      </c>
      <c r="R272" s="10">
        <v>1</v>
      </c>
      <c r="S272" s="91">
        <f t="shared" si="110"/>
        <v>112</v>
      </c>
      <c r="T272" s="17">
        <f t="shared" si="111"/>
        <v>54</v>
      </c>
      <c r="U272" s="12">
        <v>0</v>
      </c>
      <c r="V272" s="35">
        <v>0</v>
      </c>
      <c r="W272" s="93">
        <f>I272+L272+O272+R272</f>
        <v>4</v>
      </c>
      <c r="X272" s="123"/>
    </row>
    <row r="273" spans="1:24" s="24" customFormat="1" ht="30" customHeight="1" x14ac:dyDescent="0.25">
      <c r="A273" s="158" t="s">
        <v>145</v>
      </c>
      <c r="B273" s="39">
        <v>77</v>
      </c>
      <c r="C273" s="11" t="s">
        <v>59</v>
      </c>
      <c r="D273" s="113" t="s">
        <v>280</v>
      </c>
      <c r="E273" s="11" t="s">
        <v>20</v>
      </c>
      <c r="F273" s="145" t="s">
        <v>105</v>
      </c>
      <c r="G273" s="146">
        <v>55</v>
      </c>
      <c r="H273" s="145">
        <v>26</v>
      </c>
      <c r="I273" s="155">
        <v>2</v>
      </c>
      <c r="J273" s="154">
        <v>52</v>
      </c>
      <c r="K273" s="155">
        <v>26</v>
      </c>
      <c r="L273" s="155">
        <v>2</v>
      </c>
      <c r="M273" s="146">
        <v>44</v>
      </c>
      <c r="N273" s="145">
        <v>20</v>
      </c>
      <c r="O273" s="155">
        <v>2</v>
      </c>
      <c r="P273" s="146">
        <v>46</v>
      </c>
      <c r="Q273" s="145">
        <v>22</v>
      </c>
      <c r="R273" s="155">
        <v>2</v>
      </c>
      <c r="S273" s="98">
        <f t="shared" si="110"/>
        <v>197</v>
      </c>
      <c r="T273" s="78">
        <f t="shared" si="111"/>
        <v>94</v>
      </c>
      <c r="U273" s="79">
        <v>4</v>
      </c>
      <c r="V273" s="22">
        <v>1</v>
      </c>
      <c r="W273" s="80">
        <f>I273+L273+O273+R273</f>
        <v>8</v>
      </c>
      <c r="X273" s="13"/>
    </row>
    <row r="274" spans="1:24" s="38" customFormat="1" ht="30" customHeight="1" x14ac:dyDescent="0.25">
      <c r="A274" s="50" t="s">
        <v>145</v>
      </c>
      <c r="B274" s="51">
        <v>77</v>
      </c>
      <c r="C274" s="48" t="s">
        <v>59</v>
      </c>
      <c r="D274" s="113" t="s">
        <v>281</v>
      </c>
      <c r="E274" s="11" t="s">
        <v>40</v>
      </c>
      <c r="F274" s="145" t="s">
        <v>107</v>
      </c>
      <c r="G274" s="8">
        <v>40</v>
      </c>
      <c r="H274" s="9">
        <v>24</v>
      </c>
      <c r="I274" s="10">
        <v>2</v>
      </c>
      <c r="J274" s="92">
        <v>41</v>
      </c>
      <c r="K274" s="10">
        <v>20</v>
      </c>
      <c r="L274" s="10">
        <v>2</v>
      </c>
      <c r="M274" s="8">
        <v>41</v>
      </c>
      <c r="N274" s="9">
        <v>22</v>
      </c>
      <c r="O274" s="10">
        <v>2</v>
      </c>
      <c r="P274" s="8">
        <v>36</v>
      </c>
      <c r="Q274" s="9">
        <v>20</v>
      </c>
      <c r="R274" s="10">
        <v>2</v>
      </c>
      <c r="S274" s="91">
        <f t="shared" si="110"/>
        <v>158</v>
      </c>
      <c r="T274" s="17">
        <f t="shared" si="111"/>
        <v>86</v>
      </c>
      <c r="U274" s="12">
        <v>10</v>
      </c>
      <c r="V274" s="16">
        <v>6</v>
      </c>
      <c r="W274" s="93">
        <f>I274+L274+O274+R274</f>
        <v>8</v>
      </c>
      <c r="X274" s="108"/>
    </row>
    <row r="275" spans="1:24" s="24" customFormat="1" ht="30" customHeight="1" thickBot="1" x14ac:dyDescent="0.3">
      <c r="A275" s="36" t="s">
        <v>145</v>
      </c>
      <c r="B275" s="351" t="s">
        <v>97</v>
      </c>
      <c r="C275" s="352"/>
      <c r="D275" s="352"/>
      <c r="E275" s="352"/>
      <c r="F275" s="353"/>
      <c r="G275" s="40">
        <f t="shared" ref="G275:H275" si="114">SUM(G270:G274)</f>
        <v>209</v>
      </c>
      <c r="H275" s="64">
        <f t="shared" si="114"/>
        <v>99</v>
      </c>
      <c r="I275" s="81">
        <f t="shared" ref="I275:W275" si="115">SUM(I270:I274)</f>
        <v>8</v>
      </c>
      <c r="J275" s="27">
        <v>190</v>
      </c>
      <c r="K275" s="81">
        <v>95</v>
      </c>
      <c r="L275" s="96">
        <f t="shared" si="115"/>
        <v>8</v>
      </c>
      <c r="M275" s="26">
        <f t="shared" si="115"/>
        <v>178</v>
      </c>
      <c r="N275" s="64">
        <f t="shared" si="115"/>
        <v>79</v>
      </c>
      <c r="O275" s="81">
        <f t="shared" si="115"/>
        <v>8</v>
      </c>
      <c r="P275" s="26">
        <f t="shared" si="115"/>
        <v>173</v>
      </c>
      <c r="Q275" s="64">
        <f t="shared" si="115"/>
        <v>79</v>
      </c>
      <c r="R275" s="81">
        <f t="shared" si="115"/>
        <v>8</v>
      </c>
      <c r="S275" s="42">
        <f t="shared" si="110"/>
        <v>750</v>
      </c>
      <c r="T275" s="95">
        <f t="shared" si="111"/>
        <v>352</v>
      </c>
      <c r="U275" s="25">
        <f t="shared" si="115"/>
        <v>20</v>
      </c>
      <c r="V275" s="84">
        <f t="shared" si="115"/>
        <v>10</v>
      </c>
      <c r="W275" s="85">
        <f t="shared" si="115"/>
        <v>32</v>
      </c>
      <c r="X275" s="13"/>
    </row>
    <row r="276" spans="1:24" s="24" customFormat="1" ht="30" customHeight="1" x14ac:dyDescent="0.25">
      <c r="A276" s="155" t="s">
        <v>145</v>
      </c>
      <c r="B276" s="39">
        <v>82</v>
      </c>
      <c r="C276" s="11" t="s">
        <v>58</v>
      </c>
      <c r="D276" s="113" t="s">
        <v>282</v>
      </c>
      <c r="E276" s="11" t="s">
        <v>19</v>
      </c>
      <c r="F276" s="145" t="s">
        <v>105</v>
      </c>
      <c r="G276" s="146">
        <v>75</v>
      </c>
      <c r="H276" s="145">
        <v>47</v>
      </c>
      <c r="I276" s="155">
        <v>3</v>
      </c>
      <c r="J276" s="154">
        <v>82</v>
      </c>
      <c r="K276" s="155">
        <v>37</v>
      </c>
      <c r="L276" s="155">
        <v>4</v>
      </c>
      <c r="M276" s="146">
        <v>94</v>
      </c>
      <c r="N276" s="145">
        <v>49</v>
      </c>
      <c r="O276" s="155">
        <v>4</v>
      </c>
      <c r="P276" s="146">
        <v>94</v>
      </c>
      <c r="Q276" s="145">
        <v>46</v>
      </c>
      <c r="R276" s="155">
        <v>4</v>
      </c>
      <c r="S276" s="98">
        <f t="shared" si="110"/>
        <v>345</v>
      </c>
      <c r="T276" s="78">
        <f t="shared" si="111"/>
        <v>179</v>
      </c>
      <c r="U276" s="79">
        <v>19</v>
      </c>
      <c r="V276" s="22">
        <v>9</v>
      </c>
      <c r="W276" s="80">
        <f>I276+L276+O276+R276</f>
        <v>15</v>
      </c>
      <c r="X276" s="13"/>
    </row>
    <row r="277" spans="1:24" s="19" customFormat="1" ht="30" customHeight="1" x14ac:dyDescent="0.25">
      <c r="A277" s="155" t="s">
        <v>145</v>
      </c>
      <c r="B277" s="164">
        <v>86</v>
      </c>
      <c r="C277" s="11" t="s">
        <v>49</v>
      </c>
      <c r="D277" s="285" t="s">
        <v>283</v>
      </c>
      <c r="E277" s="52" t="s">
        <v>11</v>
      </c>
      <c r="F277" s="153" t="s">
        <v>105</v>
      </c>
      <c r="G277" s="151">
        <v>38</v>
      </c>
      <c r="H277" s="153">
        <v>17</v>
      </c>
      <c r="I277" s="147">
        <v>2</v>
      </c>
      <c r="J277" s="286">
        <v>25</v>
      </c>
      <c r="K277" s="147">
        <v>14</v>
      </c>
      <c r="L277" s="147">
        <v>1</v>
      </c>
      <c r="M277" s="151">
        <v>24</v>
      </c>
      <c r="N277" s="153">
        <v>11</v>
      </c>
      <c r="O277" s="147">
        <v>1</v>
      </c>
      <c r="P277" s="151">
        <v>21</v>
      </c>
      <c r="Q277" s="153">
        <v>8</v>
      </c>
      <c r="R277" s="147">
        <v>1</v>
      </c>
      <c r="S277" s="98">
        <f t="shared" si="110"/>
        <v>108</v>
      </c>
      <c r="T277" s="78">
        <f t="shared" si="111"/>
        <v>50</v>
      </c>
      <c r="U277" s="101">
        <v>8</v>
      </c>
      <c r="V277" s="53">
        <v>4</v>
      </c>
      <c r="W277" s="80">
        <f>I277+L277+O277+R277</f>
        <v>5</v>
      </c>
      <c r="X277" s="123"/>
    </row>
    <row r="278" spans="1:24" s="38" customFormat="1" ht="30" customHeight="1" x14ac:dyDescent="0.25">
      <c r="A278" s="10" t="s">
        <v>145</v>
      </c>
      <c r="B278" s="47">
        <v>86</v>
      </c>
      <c r="C278" s="48" t="s">
        <v>49</v>
      </c>
      <c r="D278" s="113" t="s">
        <v>284</v>
      </c>
      <c r="E278" s="54" t="s">
        <v>37</v>
      </c>
      <c r="F278" s="145" t="s">
        <v>107</v>
      </c>
      <c r="G278" s="8">
        <v>37</v>
      </c>
      <c r="H278" s="9">
        <v>23</v>
      </c>
      <c r="I278" s="10">
        <v>2</v>
      </c>
      <c r="J278" s="92">
        <v>60</v>
      </c>
      <c r="K278" s="10">
        <v>33</v>
      </c>
      <c r="L278" s="10">
        <v>3</v>
      </c>
      <c r="M278" s="8">
        <v>69</v>
      </c>
      <c r="N278" s="9">
        <v>30</v>
      </c>
      <c r="O278" s="10">
        <v>3</v>
      </c>
      <c r="P278" s="8">
        <v>52</v>
      </c>
      <c r="Q278" s="9">
        <v>29</v>
      </c>
      <c r="R278" s="10">
        <v>3</v>
      </c>
      <c r="S278" s="91">
        <f t="shared" si="110"/>
        <v>218</v>
      </c>
      <c r="T278" s="17">
        <f t="shared" si="111"/>
        <v>115</v>
      </c>
      <c r="U278" s="12">
        <v>34</v>
      </c>
      <c r="V278" s="16">
        <v>18</v>
      </c>
      <c r="W278" s="93">
        <f>I278+L278+O278+R278</f>
        <v>11</v>
      </c>
      <c r="X278" s="108"/>
    </row>
    <row r="279" spans="1:24" s="24" customFormat="1" ht="30" customHeight="1" x14ac:dyDescent="0.25">
      <c r="A279" s="55" t="s">
        <v>145</v>
      </c>
      <c r="B279" s="160">
        <v>87</v>
      </c>
      <c r="C279" s="11" t="s">
        <v>68</v>
      </c>
      <c r="D279" s="285" t="s">
        <v>285</v>
      </c>
      <c r="E279" s="52" t="s">
        <v>132</v>
      </c>
      <c r="F279" s="153" t="s">
        <v>105</v>
      </c>
      <c r="G279" s="151">
        <v>88</v>
      </c>
      <c r="H279" s="153">
        <v>38</v>
      </c>
      <c r="I279" s="147">
        <v>4</v>
      </c>
      <c r="J279" s="286">
        <v>105</v>
      </c>
      <c r="K279" s="147">
        <v>49</v>
      </c>
      <c r="L279" s="147">
        <v>4</v>
      </c>
      <c r="M279" s="151">
        <v>104</v>
      </c>
      <c r="N279" s="153">
        <v>48</v>
      </c>
      <c r="O279" s="147">
        <v>4</v>
      </c>
      <c r="P279" s="151">
        <v>90</v>
      </c>
      <c r="Q279" s="153">
        <v>43</v>
      </c>
      <c r="R279" s="147">
        <v>4</v>
      </c>
      <c r="S279" s="98">
        <f t="shared" si="110"/>
        <v>387</v>
      </c>
      <c r="T279" s="78">
        <f t="shared" si="111"/>
        <v>178</v>
      </c>
      <c r="U279" s="101">
        <v>33</v>
      </c>
      <c r="V279" s="53">
        <v>17</v>
      </c>
      <c r="W279" s="80">
        <f>I279+L279+O279+R279</f>
        <v>16</v>
      </c>
      <c r="X279" s="13"/>
    </row>
    <row r="280" spans="1:24" s="13" customFormat="1" ht="30" customHeight="1" thickBot="1" x14ac:dyDescent="0.3">
      <c r="A280" s="36" t="s">
        <v>145</v>
      </c>
      <c r="B280" s="357" t="s">
        <v>99</v>
      </c>
      <c r="C280" s="358"/>
      <c r="D280" s="358"/>
      <c r="E280" s="358"/>
      <c r="F280" s="359"/>
      <c r="G280" s="40">
        <f t="shared" ref="G280:H280" si="116">SUM(G276:G279)</f>
        <v>238</v>
      </c>
      <c r="H280" s="64">
        <f t="shared" si="116"/>
        <v>125</v>
      </c>
      <c r="I280" s="81">
        <f t="shared" ref="I280:W280" si="117">SUM(I276:I279)</f>
        <v>11</v>
      </c>
      <c r="J280" s="27">
        <v>272</v>
      </c>
      <c r="K280" s="81">
        <v>133</v>
      </c>
      <c r="L280" s="96">
        <f t="shared" si="117"/>
        <v>12</v>
      </c>
      <c r="M280" s="26">
        <f t="shared" si="117"/>
        <v>291</v>
      </c>
      <c r="N280" s="64">
        <f t="shared" si="117"/>
        <v>138</v>
      </c>
      <c r="O280" s="81">
        <f t="shared" si="117"/>
        <v>12</v>
      </c>
      <c r="P280" s="26">
        <f t="shared" si="117"/>
        <v>257</v>
      </c>
      <c r="Q280" s="64">
        <f t="shared" si="117"/>
        <v>126</v>
      </c>
      <c r="R280" s="81">
        <f t="shared" si="117"/>
        <v>12</v>
      </c>
      <c r="S280" s="42">
        <f t="shared" si="110"/>
        <v>1058</v>
      </c>
      <c r="T280" s="95">
        <f t="shared" si="111"/>
        <v>522</v>
      </c>
      <c r="U280" s="25">
        <f t="shared" si="117"/>
        <v>94</v>
      </c>
      <c r="V280" s="84">
        <f t="shared" si="117"/>
        <v>48</v>
      </c>
      <c r="W280" s="85">
        <f t="shared" si="117"/>
        <v>47</v>
      </c>
    </row>
    <row r="281" spans="1:24" s="108" customFormat="1" ht="49.2" x14ac:dyDescent="0.25">
      <c r="A281" s="290" t="s">
        <v>145</v>
      </c>
      <c r="B281" s="291">
        <v>91</v>
      </c>
      <c r="C281" s="292" t="s">
        <v>81</v>
      </c>
      <c r="D281" s="113" t="s">
        <v>286</v>
      </c>
      <c r="E281" s="293" t="s">
        <v>147</v>
      </c>
      <c r="F281" s="145" t="s">
        <v>107</v>
      </c>
      <c r="G281" s="22">
        <v>0</v>
      </c>
      <c r="H281" s="22">
        <v>0</v>
      </c>
      <c r="I281" s="22">
        <v>0</v>
      </c>
      <c r="J281" s="79">
        <v>56</v>
      </c>
      <c r="K281" s="22">
        <v>18</v>
      </c>
      <c r="L281" s="10">
        <v>2</v>
      </c>
      <c r="M281" s="8">
        <v>45</v>
      </c>
      <c r="N281" s="9">
        <v>22</v>
      </c>
      <c r="O281" s="10">
        <v>2</v>
      </c>
      <c r="P281" s="8">
        <v>33</v>
      </c>
      <c r="Q281" s="9">
        <v>16</v>
      </c>
      <c r="R281" s="10">
        <v>2</v>
      </c>
      <c r="S281" s="91">
        <f t="shared" si="110"/>
        <v>134</v>
      </c>
      <c r="T281" s="17">
        <f t="shared" si="111"/>
        <v>56</v>
      </c>
      <c r="U281" s="12">
        <v>82</v>
      </c>
      <c r="V281" s="16">
        <v>37</v>
      </c>
      <c r="W281" s="93">
        <f>I281+L281+O281+R281</f>
        <v>6</v>
      </c>
    </row>
    <row r="282" spans="1:24" s="24" customFormat="1" ht="30" customHeight="1" x14ac:dyDescent="0.25">
      <c r="A282" s="155" t="s">
        <v>145</v>
      </c>
      <c r="B282" s="164">
        <v>95</v>
      </c>
      <c r="C282" s="52" t="s">
        <v>62</v>
      </c>
      <c r="D282" s="285" t="s">
        <v>277</v>
      </c>
      <c r="E282" s="52" t="s">
        <v>22</v>
      </c>
      <c r="F282" s="153" t="s">
        <v>105</v>
      </c>
      <c r="G282" s="151">
        <v>32</v>
      </c>
      <c r="H282" s="153">
        <v>16</v>
      </c>
      <c r="I282" s="147">
        <v>2</v>
      </c>
      <c r="J282" s="286">
        <v>46</v>
      </c>
      <c r="K282" s="147">
        <v>25</v>
      </c>
      <c r="L282" s="147">
        <v>2</v>
      </c>
      <c r="M282" s="151">
        <v>40</v>
      </c>
      <c r="N282" s="153">
        <v>25</v>
      </c>
      <c r="O282" s="147">
        <v>2</v>
      </c>
      <c r="P282" s="151">
        <v>36</v>
      </c>
      <c r="Q282" s="153">
        <v>12</v>
      </c>
      <c r="R282" s="147">
        <v>2</v>
      </c>
      <c r="S282" s="98">
        <f t="shared" si="110"/>
        <v>154</v>
      </c>
      <c r="T282" s="78">
        <f t="shared" si="111"/>
        <v>78</v>
      </c>
      <c r="U282" s="101">
        <v>9</v>
      </c>
      <c r="V282" s="53">
        <v>4</v>
      </c>
      <c r="W282" s="80">
        <f>I282+L282+O282+R282</f>
        <v>8</v>
      </c>
      <c r="X282" s="13"/>
    </row>
    <row r="283" spans="1:24" s="24" customFormat="1" ht="30" customHeight="1" x14ac:dyDescent="0.25">
      <c r="A283" s="55" t="s">
        <v>145</v>
      </c>
      <c r="B283" s="39">
        <v>96</v>
      </c>
      <c r="C283" s="11" t="s">
        <v>51</v>
      </c>
      <c r="D283" s="113" t="s">
        <v>270</v>
      </c>
      <c r="E283" s="11" t="s">
        <v>13</v>
      </c>
      <c r="F283" s="145" t="s">
        <v>105</v>
      </c>
      <c r="G283" s="146">
        <v>28</v>
      </c>
      <c r="H283" s="145">
        <v>13</v>
      </c>
      <c r="I283" s="155">
        <v>1</v>
      </c>
      <c r="J283" s="154">
        <v>50</v>
      </c>
      <c r="K283" s="155">
        <v>26</v>
      </c>
      <c r="L283" s="155">
        <v>2</v>
      </c>
      <c r="M283" s="146">
        <v>39</v>
      </c>
      <c r="N283" s="145">
        <v>16</v>
      </c>
      <c r="O283" s="155">
        <v>2</v>
      </c>
      <c r="P283" s="146">
        <v>39</v>
      </c>
      <c r="Q283" s="145">
        <v>16</v>
      </c>
      <c r="R283" s="155">
        <v>2</v>
      </c>
      <c r="S283" s="98">
        <f t="shared" si="110"/>
        <v>156</v>
      </c>
      <c r="T283" s="78">
        <f t="shared" si="111"/>
        <v>71</v>
      </c>
      <c r="U283" s="79">
        <v>12</v>
      </c>
      <c r="V283" s="22">
        <v>5</v>
      </c>
      <c r="W283" s="80">
        <f>I283+L283+O283+R283</f>
        <v>7</v>
      </c>
      <c r="X283" s="13"/>
    </row>
    <row r="284" spans="1:24" s="38" customFormat="1" ht="30" customHeight="1" x14ac:dyDescent="0.25">
      <c r="A284" s="10" t="s">
        <v>145</v>
      </c>
      <c r="B284" s="47">
        <v>96</v>
      </c>
      <c r="C284" s="48" t="s">
        <v>51</v>
      </c>
      <c r="D284" s="113" t="s">
        <v>287</v>
      </c>
      <c r="E284" s="11" t="s">
        <v>42</v>
      </c>
      <c r="F284" s="153" t="s">
        <v>107</v>
      </c>
      <c r="G284" s="102">
        <v>53</v>
      </c>
      <c r="H284" s="103">
        <v>33</v>
      </c>
      <c r="I284" s="104">
        <v>2</v>
      </c>
      <c r="J284" s="287">
        <v>48</v>
      </c>
      <c r="K284" s="104">
        <v>22</v>
      </c>
      <c r="L284" s="104">
        <v>2</v>
      </c>
      <c r="M284" s="102">
        <v>56</v>
      </c>
      <c r="N284" s="103">
        <v>28</v>
      </c>
      <c r="O284" s="104">
        <v>2</v>
      </c>
      <c r="P284" s="102">
        <v>54</v>
      </c>
      <c r="Q284" s="103">
        <v>27</v>
      </c>
      <c r="R284" s="104">
        <v>2</v>
      </c>
      <c r="S284" s="91">
        <f t="shared" si="110"/>
        <v>211</v>
      </c>
      <c r="T284" s="17">
        <f t="shared" si="111"/>
        <v>110</v>
      </c>
      <c r="U284" s="105">
        <v>8</v>
      </c>
      <c r="V284" s="56">
        <v>3</v>
      </c>
      <c r="W284" s="93">
        <f>I284+L284+O284+R284</f>
        <v>8</v>
      </c>
      <c r="X284" s="108"/>
    </row>
    <row r="285" spans="1:24" s="24" customFormat="1" ht="30" customHeight="1" x14ac:dyDescent="0.25">
      <c r="A285" s="55" t="s">
        <v>145</v>
      </c>
      <c r="B285" s="39">
        <v>97</v>
      </c>
      <c r="C285" s="11" t="s">
        <v>61</v>
      </c>
      <c r="D285" s="113" t="s">
        <v>288</v>
      </c>
      <c r="E285" s="11" t="s">
        <v>138</v>
      </c>
      <c r="F285" s="145" t="s">
        <v>105</v>
      </c>
      <c r="G285" s="146">
        <v>100</v>
      </c>
      <c r="H285" s="145">
        <v>46</v>
      </c>
      <c r="I285" s="155">
        <v>4</v>
      </c>
      <c r="J285" s="154">
        <v>102</v>
      </c>
      <c r="K285" s="155">
        <v>57</v>
      </c>
      <c r="L285" s="155">
        <v>4</v>
      </c>
      <c r="M285" s="146">
        <v>107</v>
      </c>
      <c r="N285" s="145">
        <v>47</v>
      </c>
      <c r="O285" s="155">
        <v>4</v>
      </c>
      <c r="P285" s="146">
        <v>92</v>
      </c>
      <c r="Q285" s="145">
        <v>38</v>
      </c>
      <c r="R285" s="155">
        <v>4</v>
      </c>
      <c r="S285" s="98">
        <f t="shared" si="110"/>
        <v>401</v>
      </c>
      <c r="T285" s="78">
        <f t="shared" si="111"/>
        <v>188</v>
      </c>
      <c r="U285" s="79">
        <v>11</v>
      </c>
      <c r="V285" s="22">
        <v>4</v>
      </c>
      <c r="W285" s="80">
        <f>I285+L285+O285+R285</f>
        <v>16</v>
      </c>
      <c r="X285" s="13"/>
    </row>
    <row r="286" spans="1:24" s="24" customFormat="1" ht="30" customHeight="1" x14ac:dyDescent="0.25">
      <c r="A286" s="155" t="s">
        <v>145</v>
      </c>
      <c r="B286" s="39">
        <v>98</v>
      </c>
      <c r="C286" s="11" t="s">
        <v>52</v>
      </c>
      <c r="D286" s="113" t="s">
        <v>289</v>
      </c>
      <c r="E286" s="11" t="s">
        <v>14</v>
      </c>
      <c r="F286" s="145" t="s">
        <v>105</v>
      </c>
      <c r="G286" s="146">
        <v>61</v>
      </c>
      <c r="H286" s="145">
        <v>26</v>
      </c>
      <c r="I286" s="155">
        <v>3</v>
      </c>
      <c r="J286" s="154">
        <v>68</v>
      </c>
      <c r="K286" s="155">
        <v>32</v>
      </c>
      <c r="L286" s="155">
        <v>3</v>
      </c>
      <c r="M286" s="146">
        <v>54</v>
      </c>
      <c r="N286" s="152">
        <v>27</v>
      </c>
      <c r="O286" s="149">
        <v>2</v>
      </c>
      <c r="P286" s="146">
        <v>48</v>
      </c>
      <c r="Q286" s="145">
        <v>20</v>
      </c>
      <c r="R286" s="155">
        <v>2</v>
      </c>
      <c r="S286" s="98">
        <f t="shared" si="110"/>
        <v>231</v>
      </c>
      <c r="T286" s="78">
        <f t="shared" si="111"/>
        <v>105</v>
      </c>
      <c r="U286" s="79">
        <v>4</v>
      </c>
      <c r="V286" s="22">
        <v>1</v>
      </c>
      <c r="W286" s="80">
        <f>I286+L286+O286+R286</f>
        <v>10</v>
      </c>
      <c r="X286" s="13"/>
    </row>
    <row r="287" spans="1:24" s="24" customFormat="1" ht="30" customHeight="1" x14ac:dyDescent="0.25">
      <c r="A287" s="156" t="s">
        <v>145</v>
      </c>
      <c r="B287" s="39">
        <v>98</v>
      </c>
      <c r="C287" s="57" t="s">
        <v>52</v>
      </c>
      <c r="D287" s="288" t="s">
        <v>290</v>
      </c>
      <c r="E287" s="11" t="s">
        <v>16</v>
      </c>
      <c r="F287" s="145" t="s">
        <v>105</v>
      </c>
      <c r="G287" s="146">
        <v>23</v>
      </c>
      <c r="H287" s="145">
        <v>9</v>
      </c>
      <c r="I287" s="155">
        <v>1</v>
      </c>
      <c r="J287" s="154">
        <v>19</v>
      </c>
      <c r="K287" s="155">
        <v>10</v>
      </c>
      <c r="L287" s="155">
        <v>1</v>
      </c>
      <c r="M287" s="146">
        <v>21</v>
      </c>
      <c r="N287" s="145">
        <v>9</v>
      </c>
      <c r="O287" s="155">
        <v>1</v>
      </c>
      <c r="P287" s="146">
        <v>24</v>
      </c>
      <c r="Q287" s="145">
        <v>15</v>
      </c>
      <c r="R287" s="155">
        <v>1</v>
      </c>
      <c r="S287" s="98">
        <f t="shared" si="110"/>
        <v>87</v>
      </c>
      <c r="T287" s="78">
        <f t="shared" si="111"/>
        <v>43</v>
      </c>
      <c r="U287" s="79">
        <v>5</v>
      </c>
      <c r="V287" s="22">
        <v>2</v>
      </c>
      <c r="W287" s="80">
        <f>I287+L287+O287+R287</f>
        <v>4</v>
      </c>
      <c r="X287" s="13"/>
    </row>
    <row r="288" spans="1:24" s="24" customFormat="1" ht="30" customHeight="1" thickBot="1" x14ac:dyDescent="0.3">
      <c r="A288" s="149" t="s">
        <v>145</v>
      </c>
      <c r="B288" s="351" t="s">
        <v>100</v>
      </c>
      <c r="C288" s="352"/>
      <c r="D288" s="352"/>
      <c r="E288" s="352"/>
      <c r="F288" s="353"/>
      <c r="G288" s="40">
        <f t="shared" ref="G288:H288" si="118">SUM(G281:G287)</f>
        <v>297</v>
      </c>
      <c r="H288" s="64">
        <f t="shared" si="118"/>
        <v>143</v>
      </c>
      <c r="I288" s="81">
        <f t="shared" ref="I288:W288" si="119">SUM(I281:I287)</f>
        <v>13</v>
      </c>
      <c r="J288" s="27">
        <v>389</v>
      </c>
      <c r="K288" s="81">
        <v>190</v>
      </c>
      <c r="L288" s="96">
        <f t="shared" si="119"/>
        <v>16</v>
      </c>
      <c r="M288" s="26">
        <f t="shared" si="119"/>
        <v>362</v>
      </c>
      <c r="N288" s="64">
        <f t="shared" si="119"/>
        <v>174</v>
      </c>
      <c r="O288" s="81">
        <f t="shared" si="119"/>
        <v>15</v>
      </c>
      <c r="P288" s="26">
        <f t="shared" si="119"/>
        <v>326</v>
      </c>
      <c r="Q288" s="64">
        <f t="shared" si="119"/>
        <v>144</v>
      </c>
      <c r="R288" s="81">
        <f t="shared" si="119"/>
        <v>15</v>
      </c>
      <c r="S288" s="42">
        <f t="shared" si="110"/>
        <v>1374</v>
      </c>
      <c r="T288" s="95">
        <f t="shared" si="111"/>
        <v>651</v>
      </c>
      <c r="U288" s="25">
        <f t="shared" si="119"/>
        <v>131</v>
      </c>
      <c r="V288" s="84">
        <f t="shared" si="119"/>
        <v>56</v>
      </c>
      <c r="W288" s="85">
        <f t="shared" si="119"/>
        <v>59</v>
      </c>
      <c r="X288" s="13"/>
    </row>
    <row r="289" spans="1:24" s="28" customFormat="1" ht="30.75" customHeight="1" thickBot="1" x14ac:dyDescent="0.3">
      <c r="A289" s="58" t="s">
        <v>145</v>
      </c>
      <c r="B289" s="348" t="s">
        <v>102</v>
      </c>
      <c r="C289" s="349"/>
      <c r="D289" s="349"/>
      <c r="E289" s="349"/>
      <c r="F289" s="350"/>
      <c r="G289" s="40">
        <f t="shared" ref="G289:H289" si="120">G253+G262+G269+G275+G280+G288</f>
        <v>2291</v>
      </c>
      <c r="H289" s="40">
        <f t="shared" si="120"/>
        <v>1115</v>
      </c>
      <c r="I289" s="106">
        <f t="shared" ref="I289:W289" si="121">I253+I262+I269+I275+I280+I288</f>
        <v>102.25</v>
      </c>
      <c r="J289" s="40">
        <v>2419</v>
      </c>
      <c r="K289" s="40">
        <v>1175</v>
      </c>
      <c r="L289" s="107">
        <f t="shared" si="121"/>
        <v>105.25</v>
      </c>
      <c r="M289" s="40">
        <f t="shared" si="121"/>
        <v>2406</v>
      </c>
      <c r="N289" s="40">
        <f t="shared" si="121"/>
        <v>1168</v>
      </c>
      <c r="O289" s="107">
        <f t="shared" si="121"/>
        <v>101.25</v>
      </c>
      <c r="P289" s="40">
        <f t="shared" si="121"/>
        <v>2218</v>
      </c>
      <c r="Q289" s="40">
        <f t="shared" si="121"/>
        <v>1042</v>
      </c>
      <c r="R289" s="107">
        <f t="shared" si="121"/>
        <v>98.25</v>
      </c>
      <c r="S289" s="42">
        <f t="shared" si="110"/>
        <v>9334</v>
      </c>
      <c r="T289" s="40">
        <f t="shared" si="111"/>
        <v>4500</v>
      </c>
      <c r="U289" s="40">
        <f t="shared" si="121"/>
        <v>799</v>
      </c>
      <c r="V289" s="42">
        <f t="shared" si="121"/>
        <v>367</v>
      </c>
      <c r="W289" s="41">
        <f t="shared" si="121"/>
        <v>407</v>
      </c>
      <c r="X289" s="125"/>
    </row>
    <row r="290" spans="1:24" s="19" customFormat="1" ht="45" customHeight="1" x14ac:dyDescent="0.25">
      <c r="A290" s="158" t="s">
        <v>149</v>
      </c>
      <c r="B290" s="162">
        <v>11</v>
      </c>
      <c r="C290" s="15" t="s">
        <v>48</v>
      </c>
      <c r="D290" s="278" t="s">
        <v>246</v>
      </c>
      <c r="E290" s="15" t="s">
        <v>129</v>
      </c>
      <c r="F290" s="158" t="s">
        <v>105</v>
      </c>
      <c r="G290" s="71">
        <v>30</v>
      </c>
      <c r="H290" s="72">
        <v>18</v>
      </c>
      <c r="I290" s="158">
        <v>1.25</v>
      </c>
      <c r="J290" s="279">
        <v>32</v>
      </c>
      <c r="K290" s="158">
        <v>18</v>
      </c>
      <c r="L290" s="158">
        <v>1.25</v>
      </c>
      <c r="M290" s="71">
        <v>32</v>
      </c>
      <c r="N290" s="72">
        <v>18</v>
      </c>
      <c r="O290" s="158">
        <v>1.25</v>
      </c>
      <c r="P290" s="71">
        <v>25</v>
      </c>
      <c r="Q290" s="72">
        <v>14</v>
      </c>
      <c r="R290" s="158">
        <v>1.25</v>
      </c>
      <c r="S290" s="73">
        <f t="shared" si="110"/>
        <v>119</v>
      </c>
      <c r="T290" s="74">
        <f t="shared" si="111"/>
        <v>68</v>
      </c>
      <c r="U290" s="75">
        <v>5</v>
      </c>
      <c r="V290" s="18">
        <v>3</v>
      </c>
      <c r="W290" s="76">
        <f>I290+L290+O290+R290</f>
        <v>5</v>
      </c>
      <c r="X290" s="123"/>
    </row>
    <row r="291" spans="1:24" s="24" customFormat="1" ht="31.95" customHeight="1" x14ac:dyDescent="0.25">
      <c r="A291" s="155" t="s">
        <v>149</v>
      </c>
      <c r="B291" s="20">
        <v>15</v>
      </c>
      <c r="C291" s="21" t="s">
        <v>64</v>
      </c>
      <c r="D291" s="280" t="s">
        <v>247</v>
      </c>
      <c r="E291" s="21" t="s">
        <v>24</v>
      </c>
      <c r="F291" s="155" t="s">
        <v>105</v>
      </c>
      <c r="G291" s="146">
        <v>41</v>
      </c>
      <c r="H291" s="145">
        <v>24</v>
      </c>
      <c r="I291" s="155">
        <v>2</v>
      </c>
      <c r="J291" s="154">
        <v>34</v>
      </c>
      <c r="K291" s="155">
        <v>18</v>
      </c>
      <c r="L291" s="155">
        <v>2</v>
      </c>
      <c r="M291" s="146">
        <v>34</v>
      </c>
      <c r="N291" s="145">
        <v>15</v>
      </c>
      <c r="O291" s="155">
        <v>2</v>
      </c>
      <c r="P291" s="146">
        <v>37</v>
      </c>
      <c r="Q291" s="145">
        <v>24</v>
      </c>
      <c r="R291" s="155">
        <v>2</v>
      </c>
      <c r="S291" s="77">
        <f t="shared" si="110"/>
        <v>146</v>
      </c>
      <c r="T291" s="78">
        <f t="shared" si="111"/>
        <v>81</v>
      </c>
      <c r="U291" s="79">
        <v>3</v>
      </c>
      <c r="V291" s="23">
        <v>1</v>
      </c>
      <c r="W291" s="80">
        <f>I291+L291+O291+R291</f>
        <v>8</v>
      </c>
      <c r="X291" s="13"/>
    </row>
    <row r="292" spans="1:24" s="24" customFormat="1" ht="31.95" customHeight="1" thickBot="1" x14ac:dyDescent="0.3">
      <c r="A292" s="36" t="s">
        <v>149</v>
      </c>
      <c r="B292" s="351" t="s">
        <v>92</v>
      </c>
      <c r="C292" s="352"/>
      <c r="D292" s="352"/>
      <c r="E292" s="352"/>
      <c r="F292" s="353"/>
      <c r="G292" s="26">
        <f t="shared" ref="G292:H292" si="122">SUM(G290:G291)</f>
        <v>71</v>
      </c>
      <c r="H292" s="64">
        <f t="shared" si="122"/>
        <v>42</v>
      </c>
      <c r="I292" s="81">
        <f t="shared" ref="I292:W292" si="123">SUM(I290:I291)</f>
        <v>3.25</v>
      </c>
      <c r="J292" s="27">
        <v>66</v>
      </c>
      <c r="K292" s="81">
        <v>36</v>
      </c>
      <c r="L292" s="81">
        <f t="shared" si="123"/>
        <v>3.25</v>
      </c>
      <c r="M292" s="26">
        <f t="shared" si="123"/>
        <v>66</v>
      </c>
      <c r="N292" s="64">
        <f t="shared" si="123"/>
        <v>33</v>
      </c>
      <c r="O292" s="81">
        <f t="shared" si="123"/>
        <v>3.25</v>
      </c>
      <c r="P292" s="26">
        <f t="shared" si="123"/>
        <v>62</v>
      </c>
      <c r="Q292" s="64">
        <f t="shared" si="123"/>
        <v>38</v>
      </c>
      <c r="R292" s="81">
        <f t="shared" si="123"/>
        <v>3.25</v>
      </c>
      <c r="S292" s="82">
        <f t="shared" si="110"/>
        <v>265</v>
      </c>
      <c r="T292" s="83">
        <f t="shared" si="111"/>
        <v>149</v>
      </c>
      <c r="U292" s="25">
        <f t="shared" si="123"/>
        <v>8</v>
      </c>
      <c r="V292" s="84">
        <f t="shared" si="123"/>
        <v>4</v>
      </c>
      <c r="W292" s="85">
        <f t="shared" si="123"/>
        <v>13</v>
      </c>
      <c r="X292" s="13"/>
    </row>
    <row r="293" spans="1:24" s="14" customFormat="1" ht="30" customHeight="1" x14ac:dyDescent="0.25">
      <c r="A293" s="29" t="s">
        <v>149</v>
      </c>
      <c r="B293" s="30">
        <v>22</v>
      </c>
      <c r="C293" s="31" t="s">
        <v>75</v>
      </c>
      <c r="D293" s="281" t="s">
        <v>248</v>
      </c>
      <c r="E293" s="31" t="s">
        <v>32</v>
      </c>
      <c r="F293" s="29" t="s">
        <v>106</v>
      </c>
      <c r="G293" s="86">
        <v>50</v>
      </c>
      <c r="H293" s="87">
        <v>25</v>
      </c>
      <c r="I293" s="29">
        <v>2</v>
      </c>
      <c r="J293" s="88">
        <v>39</v>
      </c>
      <c r="K293" s="29">
        <v>15</v>
      </c>
      <c r="L293" s="29">
        <v>2</v>
      </c>
      <c r="M293" s="86">
        <v>31</v>
      </c>
      <c r="N293" s="87">
        <v>11</v>
      </c>
      <c r="O293" s="29">
        <v>2</v>
      </c>
      <c r="P293" s="86">
        <v>23</v>
      </c>
      <c r="Q293" s="87">
        <v>10</v>
      </c>
      <c r="R293" s="29">
        <v>1</v>
      </c>
      <c r="S293" s="88">
        <f t="shared" si="110"/>
        <v>143</v>
      </c>
      <c r="T293" s="87">
        <f t="shared" si="111"/>
        <v>61</v>
      </c>
      <c r="U293" s="89">
        <v>16</v>
      </c>
      <c r="V293" s="32">
        <v>9</v>
      </c>
      <c r="W293" s="90">
        <f>I293+L293+O293+R293</f>
        <v>7</v>
      </c>
      <c r="X293" s="124"/>
    </row>
    <row r="294" spans="1:24" s="24" customFormat="1" ht="31.95" customHeight="1" x14ac:dyDescent="0.25">
      <c r="A294" s="155" t="s">
        <v>149</v>
      </c>
      <c r="B294" s="20">
        <v>24</v>
      </c>
      <c r="C294" s="21" t="s">
        <v>70</v>
      </c>
      <c r="D294" s="280" t="s">
        <v>249</v>
      </c>
      <c r="E294" s="21" t="s">
        <v>27</v>
      </c>
      <c r="F294" s="155" t="s">
        <v>105</v>
      </c>
      <c r="G294" s="146">
        <v>24</v>
      </c>
      <c r="H294" s="145">
        <v>13</v>
      </c>
      <c r="I294" s="155">
        <v>1</v>
      </c>
      <c r="J294" s="154">
        <v>30</v>
      </c>
      <c r="K294" s="155">
        <v>14</v>
      </c>
      <c r="L294" s="155">
        <v>1</v>
      </c>
      <c r="M294" s="146">
        <v>24</v>
      </c>
      <c r="N294" s="145">
        <v>13</v>
      </c>
      <c r="O294" s="155">
        <v>1</v>
      </c>
      <c r="P294" s="146">
        <v>28</v>
      </c>
      <c r="Q294" s="145">
        <v>12</v>
      </c>
      <c r="R294" s="155">
        <v>1</v>
      </c>
      <c r="S294" s="77">
        <f t="shared" si="110"/>
        <v>106</v>
      </c>
      <c r="T294" s="78">
        <f t="shared" si="111"/>
        <v>52</v>
      </c>
      <c r="U294" s="79">
        <v>5</v>
      </c>
      <c r="V294" s="23">
        <v>3</v>
      </c>
      <c r="W294" s="80">
        <f>I294+L294+O294+R294</f>
        <v>4</v>
      </c>
      <c r="X294" s="13"/>
    </row>
    <row r="295" spans="1:24" s="14" customFormat="1" ht="30" customHeight="1" x14ac:dyDescent="0.25">
      <c r="A295" s="10" t="s">
        <v>149</v>
      </c>
      <c r="B295" s="33">
        <v>25</v>
      </c>
      <c r="C295" s="34" t="s">
        <v>74</v>
      </c>
      <c r="D295" s="280" t="s">
        <v>250</v>
      </c>
      <c r="E295" s="21" t="s">
        <v>130</v>
      </c>
      <c r="F295" s="10" t="s">
        <v>106</v>
      </c>
      <c r="G295" s="91">
        <v>56</v>
      </c>
      <c r="H295" s="17">
        <v>28</v>
      </c>
      <c r="I295" s="10">
        <v>2</v>
      </c>
      <c r="J295" s="92">
        <v>57</v>
      </c>
      <c r="K295" s="10">
        <v>24</v>
      </c>
      <c r="L295" s="10">
        <v>2</v>
      </c>
      <c r="M295" s="91">
        <v>46</v>
      </c>
      <c r="N295" s="17">
        <v>25</v>
      </c>
      <c r="O295" s="10">
        <v>2</v>
      </c>
      <c r="P295" s="91">
        <v>50</v>
      </c>
      <c r="Q295" s="17">
        <v>32</v>
      </c>
      <c r="R295" s="10">
        <v>2</v>
      </c>
      <c r="S295" s="92">
        <f t="shared" si="110"/>
        <v>209</v>
      </c>
      <c r="T295" s="17">
        <f t="shared" si="111"/>
        <v>109</v>
      </c>
      <c r="U295" s="12">
        <v>1</v>
      </c>
      <c r="V295" s="35">
        <v>1</v>
      </c>
      <c r="W295" s="93">
        <f>I295+L295+O295+R295</f>
        <v>8</v>
      </c>
      <c r="X295" s="124"/>
    </row>
    <row r="296" spans="1:24" s="24" customFormat="1" ht="31.95" customHeight="1" x14ac:dyDescent="0.25">
      <c r="A296" s="155" t="s">
        <v>149</v>
      </c>
      <c r="B296" s="20">
        <v>27</v>
      </c>
      <c r="C296" s="21" t="s">
        <v>60</v>
      </c>
      <c r="D296" s="280" t="s">
        <v>251</v>
      </c>
      <c r="E296" s="21" t="s">
        <v>21</v>
      </c>
      <c r="F296" s="155" t="s">
        <v>105</v>
      </c>
      <c r="G296" s="146">
        <v>56</v>
      </c>
      <c r="H296" s="145">
        <v>24</v>
      </c>
      <c r="I296" s="155">
        <v>2</v>
      </c>
      <c r="J296" s="154">
        <v>56</v>
      </c>
      <c r="K296" s="155">
        <v>29</v>
      </c>
      <c r="L296" s="155">
        <v>2</v>
      </c>
      <c r="M296" s="146">
        <v>46</v>
      </c>
      <c r="N296" s="145">
        <v>26</v>
      </c>
      <c r="O296" s="155">
        <v>2</v>
      </c>
      <c r="P296" s="146">
        <v>53</v>
      </c>
      <c r="Q296" s="145">
        <v>26</v>
      </c>
      <c r="R296" s="155">
        <v>2</v>
      </c>
      <c r="S296" s="77">
        <f t="shared" si="110"/>
        <v>211</v>
      </c>
      <c r="T296" s="78">
        <f t="shared" si="111"/>
        <v>105</v>
      </c>
      <c r="U296" s="79">
        <v>7</v>
      </c>
      <c r="V296" s="23">
        <v>5</v>
      </c>
      <c r="W296" s="80">
        <f>I296+L296+O296+R296</f>
        <v>8</v>
      </c>
      <c r="X296" s="13"/>
    </row>
    <row r="297" spans="1:24" s="14" customFormat="1" ht="30" customHeight="1" x14ac:dyDescent="0.25">
      <c r="A297" s="10" t="s">
        <v>149</v>
      </c>
      <c r="B297" s="33">
        <v>27</v>
      </c>
      <c r="C297" s="34" t="s">
        <v>60</v>
      </c>
      <c r="D297" s="280" t="s">
        <v>252</v>
      </c>
      <c r="E297" s="34" t="s">
        <v>33</v>
      </c>
      <c r="F297" s="10" t="s">
        <v>106</v>
      </c>
      <c r="G297" s="91">
        <v>42</v>
      </c>
      <c r="H297" s="17">
        <v>22</v>
      </c>
      <c r="I297" s="10">
        <v>2</v>
      </c>
      <c r="J297" s="92">
        <v>45</v>
      </c>
      <c r="K297" s="10">
        <v>12</v>
      </c>
      <c r="L297" s="10">
        <v>2</v>
      </c>
      <c r="M297" s="91">
        <v>43</v>
      </c>
      <c r="N297" s="17">
        <v>19</v>
      </c>
      <c r="O297" s="10">
        <v>2</v>
      </c>
      <c r="P297" s="91">
        <v>44</v>
      </c>
      <c r="Q297" s="17">
        <v>14</v>
      </c>
      <c r="R297" s="10">
        <v>2</v>
      </c>
      <c r="S297" s="92">
        <f t="shared" si="110"/>
        <v>174</v>
      </c>
      <c r="T297" s="17">
        <f t="shared" si="111"/>
        <v>67</v>
      </c>
      <c r="U297" s="12">
        <v>4</v>
      </c>
      <c r="V297" s="35">
        <v>2</v>
      </c>
      <c r="W297" s="93">
        <f>I297+L297+O297+R297</f>
        <v>8</v>
      </c>
      <c r="X297" s="124"/>
    </row>
    <row r="298" spans="1:24" s="24" customFormat="1" ht="31.95" customHeight="1" thickBot="1" x14ac:dyDescent="0.3">
      <c r="A298" s="36" t="s">
        <v>149</v>
      </c>
      <c r="B298" s="351" t="s">
        <v>101</v>
      </c>
      <c r="C298" s="352"/>
      <c r="D298" s="352"/>
      <c r="E298" s="352"/>
      <c r="F298" s="353"/>
      <c r="G298" s="26">
        <f t="shared" ref="G298:H298" si="124">SUM(G293:G297)</f>
        <v>228</v>
      </c>
      <c r="H298" s="64">
        <f t="shared" si="124"/>
        <v>112</v>
      </c>
      <c r="I298" s="81">
        <f t="shared" ref="I298:W298" si="125">SUM(I293:I297)</f>
        <v>9</v>
      </c>
      <c r="J298" s="27">
        <v>227</v>
      </c>
      <c r="K298" s="81">
        <v>94</v>
      </c>
      <c r="L298" s="81">
        <f t="shared" si="125"/>
        <v>9</v>
      </c>
      <c r="M298" s="26">
        <f t="shared" si="125"/>
        <v>190</v>
      </c>
      <c r="N298" s="64">
        <f t="shared" si="125"/>
        <v>94</v>
      </c>
      <c r="O298" s="81">
        <f t="shared" si="125"/>
        <v>9</v>
      </c>
      <c r="P298" s="26">
        <f t="shared" si="125"/>
        <v>198</v>
      </c>
      <c r="Q298" s="64">
        <f t="shared" si="125"/>
        <v>94</v>
      </c>
      <c r="R298" s="81">
        <f t="shared" si="125"/>
        <v>8</v>
      </c>
      <c r="S298" s="82">
        <f t="shared" si="110"/>
        <v>843</v>
      </c>
      <c r="T298" s="83">
        <f t="shared" si="111"/>
        <v>394</v>
      </c>
      <c r="U298" s="25">
        <f t="shared" si="125"/>
        <v>33</v>
      </c>
      <c r="V298" s="84">
        <f t="shared" si="125"/>
        <v>20</v>
      </c>
      <c r="W298" s="85">
        <f t="shared" si="125"/>
        <v>35</v>
      </c>
      <c r="X298" s="13"/>
    </row>
    <row r="299" spans="1:24" s="38" customFormat="1" ht="30.75" customHeight="1" x14ac:dyDescent="0.25">
      <c r="A299" s="10" t="s">
        <v>149</v>
      </c>
      <c r="B299" s="33">
        <v>31</v>
      </c>
      <c r="C299" s="34" t="s">
        <v>79</v>
      </c>
      <c r="D299" s="280" t="s">
        <v>253</v>
      </c>
      <c r="E299" s="21" t="s">
        <v>36</v>
      </c>
      <c r="F299" s="155" t="s">
        <v>107</v>
      </c>
      <c r="G299" s="8">
        <v>40</v>
      </c>
      <c r="H299" s="9">
        <v>18</v>
      </c>
      <c r="I299" s="10">
        <v>2</v>
      </c>
      <c r="J299" s="92">
        <v>37</v>
      </c>
      <c r="K299" s="10">
        <v>17</v>
      </c>
      <c r="L299" s="10">
        <v>2</v>
      </c>
      <c r="M299" s="8">
        <v>44</v>
      </c>
      <c r="N299" s="9">
        <v>23</v>
      </c>
      <c r="O299" s="10">
        <v>2</v>
      </c>
      <c r="P299" s="8">
        <v>53</v>
      </c>
      <c r="Q299" s="9">
        <v>25</v>
      </c>
      <c r="R299" s="10">
        <v>2</v>
      </c>
      <c r="S299" s="92">
        <f t="shared" si="110"/>
        <v>174</v>
      </c>
      <c r="T299" s="17">
        <f t="shared" si="111"/>
        <v>83</v>
      </c>
      <c r="U299" s="12">
        <v>11</v>
      </c>
      <c r="V299" s="35">
        <v>5</v>
      </c>
      <c r="W299" s="93">
        <f>I299+L299+O299+R299</f>
        <v>8</v>
      </c>
      <c r="X299" s="108"/>
    </row>
    <row r="300" spans="1:24" s="38" customFormat="1" ht="30" customHeight="1" x14ac:dyDescent="0.25">
      <c r="A300" s="10" t="s">
        <v>149</v>
      </c>
      <c r="B300" s="33">
        <v>32</v>
      </c>
      <c r="C300" s="34" t="s">
        <v>85</v>
      </c>
      <c r="D300" s="280" t="s">
        <v>255</v>
      </c>
      <c r="E300" s="21" t="s">
        <v>137</v>
      </c>
      <c r="F300" s="155" t="s">
        <v>107</v>
      </c>
      <c r="G300" s="8">
        <v>58</v>
      </c>
      <c r="H300" s="9">
        <v>26</v>
      </c>
      <c r="I300" s="10">
        <v>3</v>
      </c>
      <c r="J300" s="92">
        <v>59</v>
      </c>
      <c r="K300" s="10">
        <v>26</v>
      </c>
      <c r="L300" s="10">
        <v>3</v>
      </c>
      <c r="M300" s="8">
        <v>70</v>
      </c>
      <c r="N300" s="9">
        <v>35</v>
      </c>
      <c r="O300" s="10">
        <v>3</v>
      </c>
      <c r="P300" s="8">
        <v>66</v>
      </c>
      <c r="Q300" s="9">
        <v>28</v>
      </c>
      <c r="R300" s="10">
        <v>3</v>
      </c>
      <c r="S300" s="92">
        <f t="shared" si="110"/>
        <v>253</v>
      </c>
      <c r="T300" s="17">
        <f t="shared" si="111"/>
        <v>115</v>
      </c>
      <c r="U300" s="12">
        <v>26</v>
      </c>
      <c r="V300" s="35">
        <v>13</v>
      </c>
      <c r="W300" s="93">
        <f>I300+L300+O300+R300</f>
        <v>12</v>
      </c>
      <c r="X300" s="108"/>
    </row>
    <row r="301" spans="1:24" s="24" customFormat="1" ht="31.95" customHeight="1" x14ac:dyDescent="0.25">
      <c r="A301" s="155" t="s">
        <v>149</v>
      </c>
      <c r="B301" s="20">
        <v>33</v>
      </c>
      <c r="C301" s="21" t="s">
        <v>57</v>
      </c>
      <c r="D301" s="280" t="s">
        <v>256</v>
      </c>
      <c r="E301" s="21" t="s">
        <v>18</v>
      </c>
      <c r="F301" s="155" t="s">
        <v>105</v>
      </c>
      <c r="G301" s="146">
        <v>51</v>
      </c>
      <c r="H301" s="145">
        <v>21</v>
      </c>
      <c r="I301" s="155">
        <v>2</v>
      </c>
      <c r="J301" s="154">
        <v>51</v>
      </c>
      <c r="K301" s="155">
        <v>24</v>
      </c>
      <c r="L301" s="155">
        <v>2</v>
      </c>
      <c r="M301" s="146">
        <v>25</v>
      </c>
      <c r="N301" s="145">
        <v>15</v>
      </c>
      <c r="O301" s="155">
        <v>1</v>
      </c>
      <c r="P301" s="146">
        <v>44</v>
      </c>
      <c r="Q301" s="145">
        <v>28</v>
      </c>
      <c r="R301" s="155">
        <v>2</v>
      </c>
      <c r="S301" s="77">
        <f t="shared" si="110"/>
        <v>171</v>
      </c>
      <c r="T301" s="78">
        <f t="shared" si="111"/>
        <v>88</v>
      </c>
      <c r="U301" s="79">
        <v>17</v>
      </c>
      <c r="V301" s="23">
        <v>8</v>
      </c>
      <c r="W301" s="80">
        <f>I301+L301+O301+R301</f>
        <v>7</v>
      </c>
      <c r="X301" s="13"/>
    </row>
    <row r="302" spans="1:24" s="24" customFormat="1" ht="31.95" customHeight="1" x14ac:dyDescent="0.25">
      <c r="A302" s="155" t="s">
        <v>149</v>
      </c>
      <c r="B302" s="20">
        <v>34</v>
      </c>
      <c r="C302" s="21" t="s">
        <v>54</v>
      </c>
      <c r="D302" s="280" t="s">
        <v>254</v>
      </c>
      <c r="E302" s="21" t="s">
        <v>15</v>
      </c>
      <c r="F302" s="155" t="s">
        <v>105</v>
      </c>
      <c r="G302" s="146">
        <v>55</v>
      </c>
      <c r="H302" s="145">
        <v>29</v>
      </c>
      <c r="I302" s="155">
        <v>2</v>
      </c>
      <c r="J302" s="154">
        <v>76</v>
      </c>
      <c r="K302" s="155">
        <v>36</v>
      </c>
      <c r="L302" s="155">
        <v>3</v>
      </c>
      <c r="M302" s="146">
        <v>70</v>
      </c>
      <c r="N302" s="145">
        <v>37</v>
      </c>
      <c r="O302" s="155">
        <v>3</v>
      </c>
      <c r="P302" s="146">
        <v>50</v>
      </c>
      <c r="Q302" s="145">
        <v>28</v>
      </c>
      <c r="R302" s="155">
        <v>2</v>
      </c>
      <c r="S302" s="77">
        <f t="shared" si="110"/>
        <v>251</v>
      </c>
      <c r="T302" s="78">
        <f t="shared" si="111"/>
        <v>130</v>
      </c>
      <c r="U302" s="79">
        <v>24</v>
      </c>
      <c r="V302" s="23">
        <v>13</v>
      </c>
      <c r="W302" s="80">
        <f>I302+L302+O302+R302</f>
        <v>10</v>
      </c>
      <c r="X302" s="13"/>
    </row>
    <row r="303" spans="1:24" s="24" customFormat="1" ht="31.95" customHeight="1" thickBot="1" x14ac:dyDescent="0.3">
      <c r="A303" s="36" t="s">
        <v>149</v>
      </c>
      <c r="B303" s="351" t="s">
        <v>93</v>
      </c>
      <c r="C303" s="352"/>
      <c r="D303" s="352"/>
      <c r="E303" s="352"/>
      <c r="F303" s="353"/>
      <c r="G303" s="40">
        <f t="shared" ref="G303:H303" si="126">SUM(G299:G302)</f>
        <v>204</v>
      </c>
      <c r="H303" s="64">
        <f t="shared" si="126"/>
        <v>94</v>
      </c>
      <c r="I303" s="81">
        <f t="shared" ref="I303:W303" si="127">SUM(I299:I302)</f>
        <v>9</v>
      </c>
      <c r="J303" s="27">
        <v>223</v>
      </c>
      <c r="K303" s="81">
        <v>103</v>
      </c>
      <c r="L303" s="81">
        <f t="shared" si="127"/>
        <v>10</v>
      </c>
      <c r="M303" s="26">
        <f t="shared" si="127"/>
        <v>209</v>
      </c>
      <c r="N303" s="64">
        <f t="shared" si="127"/>
        <v>110</v>
      </c>
      <c r="O303" s="81">
        <f t="shared" si="127"/>
        <v>9</v>
      </c>
      <c r="P303" s="26">
        <f t="shared" si="127"/>
        <v>213</v>
      </c>
      <c r="Q303" s="64">
        <f t="shared" si="127"/>
        <v>109</v>
      </c>
      <c r="R303" s="81">
        <f t="shared" si="127"/>
        <v>9</v>
      </c>
      <c r="S303" s="82">
        <f t="shared" si="110"/>
        <v>849</v>
      </c>
      <c r="T303" s="83">
        <f t="shared" si="111"/>
        <v>416</v>
      </c>
      <c r="U303" s="25">
        <f t="shared" si="127"/>
        <v>78</v>
      </c>
      <c r="V303" s="84">
        <f t="shared" si="127"/>
        <v>39</v>
      </c>
      <c r="W303" s="85">
        <f t="shared" si="127"/>
        <v>37</v>
      </c>
      <c r="X303" s="13"/>
    </row>
    <row r="304" spans="1:24" s="24" customFormat="1" ht="30" customHeight="1" x14ac:dyDescent="0.25">
      <c r="A304" s="155" t="s">
        <v>149</v>
      </c>
      <c r="B304" s="20">
        <v>45</v>
      </c>
      <c r="C304" s="21" t="s">
        <v>65</v>
      </c>
      <c r="D304" s="280" t="s">
        <v>257</v>
      </c>
      <c r="E304" s="21" t="s">
        <v>25</v>
      </c>
      <c r="F304" s="155" t="s">
        <v>105</v>
      </c>
      <c r="G304" s="146">
        <v>54</v>
      </c>
      <c r="H304" s="145">
        <v>28</v>
      </c>
      <c r="I304" s="155">
        <v>2</v>
      </c>
      <c r="J304" s="154">
        <v>45</v>
      </c>
      <c r="K304" s="155">
        <v>13</v>
      </c>
      <c r="L304" s="155">
        <v>2</v>
      </c>
      <c r="M304" s="146">
        <v>39</v>
      </c>
      <c r="N304" s="145">
        <v>17</v>
      </c>
      <c r="O304" s="155">
        <v>2</v>
      </c>
      <c r="P304" s="146">
        <v>46</v>
      </c>
      <c r="Q304" s="145">
        <v>19</v>
      </c>
      <c r="R304" s="155">
        <v>2</v>
      </c>
      <c r="S304" s="77">
        <f t="shared" si="110"/>
        <v>184</v>
      </c>
      <c r="T304" s="78">
        <f t="shared" si="111"/>
        <v>77</v>
      </c>
      <c r="U304" s="79">
        <v>11</v>
      </c>
      <c r="V304" s="23">
        <v>6</v>
      </c>
      <c r="W304" s="80">
        <f>I304+L304+O304+R304</f>
        <v>8</v>
      </c>
      <c r="X304" s="13"/>
    </row>
    <row r="305" spans="1:24" s="38" customFormat="1" ht="30" customHeight="1" x14ac:dyDescent="0.25">
      <c r="A305" s="10" t="s">
        <v>149</v>
      </c>
      <c r="B305" s="33">
        <v>45</v>
      </c>
      <c r="C305" s="34" t="s">
        <v>65</v>
      </c>
      <c r="D305" s="280" t="s">
        <v>258</v>
      </c>
      <c r="E305" s="21" t="s">
        <v>43</v>
      </c>
      <c r="F305" s="155" t="s">
        <v>107</v>
      </c>
      <c r="G305" s="8">
        <v>45</v>
      </c>
      <c r="H305" s="9">
        <v>24</v>
      </c>
      <c r="I305" s="10">
        <v>2</v>
      </c>
      <c r="J305" s="92">
        <v>53</v>
      </c>
      <c r="K305" s="10">
        <v>30</v>
      </c>
      <c r="L305" s="10">
        <v>2</v>
      </c>
      <c r="M305" s="8">
        <v>34</v>
      </c>
      <c r="N305" s="17">
        <v>14</v>
      </c>
      <c r="O305" s="10">
        <v>2</v>
      </c>
      <c r="P305" s="8">
        <v>40</v>
      </c>
      <c r="Q305" s="9">
        <v>21</v>
      </c>
      <c r="R305" s="10">
        <v>2</v>
      </c>
      <c r="S305" s="92">
        <f t="shared" si="110"/>
        <v>172</v>
      </c>
      <c r="T305" s="17">
        <f t="shared" si="111"/>
        <v>89</v>
      </c>
      <c r="U305" s="12">
        <v>13</v>
      </c>
      <c r="V305" s="35">
        <v>6</v>
      </c>
      <c r="W305" s="93">
        <f>I305+L305+O305+R305</f>
        <v>8</v>
      </c>
      <c r="X305" s="108"/>
    </row>
    <row r="306" spans="1:24" s="24" customFormat="1" ht="30" customHeight="1" x14ac:dyDescent="0.25">
      <c r="A306" s="155" t="s">
        <v>149</v>
      </c>
      <c r="B306" s="20">
        <v>46</v>
      </c>
      <c r="C306" s="21" t="s">
        <v>73</v>
      </c>
      <c r="D306" s="280" t="s">
        <v>259</v>
      </c>
      <c r="E306" s="21" t="s">
        <v>30</v>
      </c>
      <c r="F306" s="155" t="s">
        <v>105</v>
      </c>
      <c r="G306" s="146">
        <v>66</v>
      </c>
      <c r="H306" s="145">
        <v>31</v>
      </c>
      <c r="I306" s="155">
        <v>3</v>
      </c>
      <c r="J306" s="154">
        <v>81</v>
      </c>
      <c r="K306" s="155">
        <v>42</v>
      </c>
      <c r="L306" s="155">
        <v>3</v>
      </c>
      <c r="M306" s="146">
        <v>62</v>
      </c>
      <c r="N306" s="145">
        <v>36</v>
      </c>
      <c r="O306" s="155">
        <v>3</v>
      </c>
      <c r="P306" s="146">
        <v>77</v>
      </c>
      <c r="Q306" s="145">
        <v>32</v>
      </c>
      <c r="R306" s="155">
        <v>3</v>
      </c>
      <c r="S306" s="77">
        <f t="shared" si="110"/>
        <v>286</v>
      </c>
      <c r="T306" s="78">
        <f t="shared" si="111"/>
        <v>141</v>
      </c>
      <c r="U306" s="79">
        <v>43</v>
      </c>
      <c r="V306" s="23">
        <v>16</v>
      </c>
      <c r="W306" s="80">
        <f>I306+L306+O306+R306</f>
        <v>12</v>
      </c>
      <c r="X306" s="13"/>
    </row>
    <row r="307" spans="1:24" s="24" customFormat="1" ht="30" customHeight="1" x14ac:dyDescent="0.25">
      <c r="A307" s="155" t="s">
        <v>149</v>
      </c>
      <c r="B307" s="20">
        <v>47</v>
      </c>
      <c r="C307" s="21" t="s">
        <v>53</v>
      </c>
      <c r="D307" s="280" t="s">
        <v>260</v>
      </c>
      <c r="E307" s="21" t="s">
        <v>133</v>
      </c>
      <c r="F307" s="155" t="s">
        <v>105</v>
      </c>
      <c r="G307" s="146">
        <v>67</v>
      </c>
      <c r="H307" s="145">
        <v>34</v>
      </c>
      <c r="I307" s="155">
        <v>3</v>
      </c>
      <c r="J307" s="154">
        <v>70</v>
      </c>
      <c r="K307" s="155">
        <v>32</v>
      </c>
      <c r="L307" s="155">
        <v>3</v>
      </c>
      <c r="M307" s="146">
        <v>69</v>
      </c>
      <c r="N307" s="145">
        <v>21</v>
      </c>
      <c r="O307" s="155">
        <v>3</v>
      </c>
      <c r="P307" s="146">
        <v>48</v>
      </c>
      <c r="Q307" s="145">
        <v>28</v>
      </c>
      <c r="R307" s="155">
        <v>2</v>
      </c>
      <c r="S307" s="77">
        <f t="shared" si="110"/>
        <v>254</v>
      </c>
      <c r="T307" s="78">
        <f t="shared" si="111"/>
        <v>115</v>
      </c>
      <c r="U307" s="79">
        <v>18</v>
      </c>
      <c r="V307" s="23">
        <v>7</v>
      </c>
      <c r="W307" s="80">
        <f>I307+L307+O307+R307</f>
        <v>11</v>
      </c>
      <c r="X307" s="13"/>
    </row>
    <row r="308" spans="1:24" s="24" customFormat="1" ht="30" customHeight="1" thickBot="1" x14ac:dyDescent="0.3">
      <c r="A308" s="149" t="s">
        <v>149</v>
      </c>
      <c r="B308" s="351" t="s">
        <v>94</v>
      </c>
      <c r="C308" s="352"/>
      <c r="D308" s="352"/>
      <c r="E308" s="352"/>
      <c r="F308" s="353"/>
      <c r="G308" s="40">
        <f t="shared" ref="G308:H308" si="128">SUM(G304:G307)</f>
        <v>232</v>
      </c>
      <c r="H308" s="64">
        <f t="shared" si="128"/>
        <v>117</v>
      </c>
      <c r="I308" s="81">
        <f t="shared" ref="I308:W308" si="129">SUM(I304:I307)</f>
        <v>10</v>
      </c>
      <c r="J308" s="27">
        <v>249</v>
      </c>
      <c r="K308" s="81">
        <v>117</v>
      </c>
      <c r="L308" s="81">
        <f t="shared" si="129"/>
        <v>10</v>
      </c>
      <c r="M308" s="26">
        <f t="shared" si="129"/>
        <v>204</v>
      </c>
      <c r="N308" s="64">
        <f t="shared" si="129"/>
        <v>88</v>
      </c>
      <c r="O308" s="81">
        <f t="shared" si="129"/>
        <v>10</v>
      </c>
      <c r="P308" s="26">
        <f t="shared" si="129"/>
        <v>211</v>
      </c>
      <c r="Q308" s="64">
        <f t="shared" si="129"/>
        <v>100</v>
      </c>
      <c r="R308" s="81">
        <f t="shared" si="129"/>
        <v>9</v>
      </c>
      <c r="S308" s="82">
        <f t="shared" si="110"/>
        <v>896</v>
      </c>
      <c r="T308" s="83">
        <f t="shared" si="111"/>
        <v>422</v>
      </c>
      <c r="U308" s="25">
        <f t="shared" si="129"/>
        <v>85</v>
      </c>
      <c r="V308" s="84">
        <f t="shared" si="129"/>
        <v>35</v>
      </c>
      <c r="W308" s="85">
        <f t="shared" si="129"/>
        <v>39</v>
      </c>
      <c r="X308" s="13"/>
    </row>
    <row r="309" spans="1:24" s="24" customFormat="1" ht="30" customHeight="1" thickBot="1" x14ac:dyDescent="0.3">
      <c r="A309" s="43" t="s">
        <v>149</v>
      </c>
      <c r="B309" s="348" t="s">
        <v>95</v>
      </c>
      <c r="C309" s="349"/>
      <c r="D309" s="349"/>
      <c r="E309" s="349"/>
      <c r="F309" s="350"/>
      <c r="G309" s="40">
        <f t="shared" ref="G309:H309" si="130">G292+G298+G303+G308</f>
        <v>735</v>
      </c>
      <c r="H309" s="64">
        <f t="shared" si="130"/>
        <v>365</v>
      </c>
      <c r="I309" s="81">
        <f t="shared" ref="I309:W309" si="131">I292+I298+I303+I308</f>
        <v>31.25</v>
      </c>
      <c r="J309" s="27">
        <v>765</v>
      </c>
      <c r="K309" s="81">
        <v>350</v>
      </c>
      <c r="L309" s="94">
        <f t="shared" si="131"/>
        <v>32.25</v>
      </c>
      <c r="M309" s="26">
        <f t="shared" si="131"/>
        <v>669</v>
      </c>
      <c r="N309" s="64">
        <f t="shared" si="131"/>
        <v>325</v>
      </c>
      <c r="O309" s="81">
        <f t="shared" si="131"/>
        <v>31.25</v>
      </c>
      <c r="P309" s="26">
        <f t="shared" si="131"/>
        <v>684</v>
      </c>
      <c r="Q309" s="64">
        <f t="shared" si="131"/>
        <v>341</v>
      </c>
      <c r="R309" s="81">
        <f t="shared" si="131"/>
        <v>29.25</v>
      </c>
      <c r="S309" s="42">
        <f t="shared" si="110"/>
        <v>2853</v>
      </c>
      <c r="T309" s="95">
        <f t="shared" si="111"/>
        <v>1381</v>
      </c>
      <c r="U309" s="25">
        <f t="shared" si="131"/>
        <v>204</v>
      </c>
      <c r="V309" s="84">
        <f t="shared" si="131"/>
        <v>98</v>
      </c>
      <c r="W309" s="85">
        <f t="shared" si="131"/>
        <v>124</v>
      </c>
      <c r="X309" s="13"/>
    </row>
    <row r="310" spans="1:24" s="24" customFormat="1" ht="31.95" customHeight="1" x14ac:dyDescent="0.25">
      <c r="A310" s="44" t="s">
        <v>149</v>
      </c>
      <c r="B310" s="20">
        <v>51</v>
      </c>
      <c r="C310" s="21" t="s">
        <v>66</v>
      </c>
      <c r="D310" s="280" t="s">
        <v>261</v>
      </c>
      <c r="E310" s="21" t="s">
        <v>26</v>
      </c>
      <c r="F310" s="155" t="s">
        <v>105</v>
      </c>
      <c r="G310" s="146">
        <v>74</v>
      </c>
      <c r="H310" s="145">
        <v>39</v>
      </c>
      <c r="I310" s="155">
        <v>3</v>
      </c>
      <c r="J310" s="154">
        <v>80</v>
      </c>
      <c r="K310" s="155">
        <v>39</v>
      </c>
      <c r="L310" s="155">
        <v>3</v>
      </c>
      <c r="M310" s="146">
        <v>58</v>
      </c>
      <c r="N310" s="145">
        <v>36</v>
      </c>
      <c r="O310" s="155">
        <v>3</v>
      </c>
      <c r="P310" s="146">
        <v>82</v>
      </c>
      <c r="Q310" s="145">
        <v>39</v>
      </c>
      <c r="R310" s="155">
        <v>3</v>
      </c>
      <c r="S310" s="77">
        <f t="shared" si="110"/>
        <v>294</v>
      </c>
      <c r="T310" s="78">
        <f t="shared" si="111"/>
        <v>153</v>
      </c>
      <c r="U310" s="79">
        <v>81</v>
      </c>
      <c r="V310" s="23">
        <v>39</v>
      </c>
      <c r="W310" s="80">
        <f>I310+L310+O310+R310</f>
        <v>12</v>
      </c>
      <c r="X310" s="13"/>
    </row>
    <row r="311" spans="1:24" s="38" customFormat="1" ht="30" customHeight="1" x14ac:dyDescent="0.25">
      <c r="A311" s="10" t="s">
        <v>149</v>
      </c>
      <c r="B311" s="33">
        <v>51</v>
      </c>
      <c r="C311" s="34" t="s">
        <v>66</v>
      </c>
      <c r="D311" s="280" t="s">
        <v>263</v>
      </c>
      <c r="E311" s="21" t="s">
        <v>41</v>
      </c>
      <c r="F311" s="155" t="s">
        <v>107</v>
      </c>
      <c r="G311" s="8">
        <v>80</v>
      </c>
      <c r="H311" s="9">
        <v>31</v>
      </c>
      <c r="I311" s="10">
        <v>3</v>
      </c>
      <c r="J311" s="92">
        <v>81</v>
      </c>
      <c r="K311" s="10">
        <v>37</v>
      </c>
      <c r="L311" s="10">
        <v>3</v>
      </c>
      <c r="M311" s="8">
        <v>82</v>
      </c>
      <c r="N311" s="9">
        <v>45</v>
      </c>
      <c r="O311" s="10">
        <v>3</v>
      </c>
      <c r="P311" s="8">
        <v>66</v>
      </c>
      <c r="Q311" s="9">
        <v>32</v>
      </c>
      <c r="R311" s="10">
        <v>3</v>
      </c>
      <c r="S311" s="92">
        <f t="shared" si="110"/>
        <v>309</v>
      </c>
      <c r="T311" s="17">
        <f t="shared" si="111"/>
        <v>145</v>
      </c>
      <c r="U311" s="12">
        <v>11</v>
      </c>
      <c r="V311" s="35">
        <v>4</v>
      </c>
      <c r="W311" s="93">
        <f>I311+L311+O311+R311</f>
        <v>12</v>
      </c>
      <c r="X311" s="108"/>
    </row>
    <row r="312" spans="1:24" s="38" customFormat="1" ht="30" customHeight="1" x14ac:dyDescent="0.25">
      <c r="A312" s="10" t="s">
        <v>149</v>
      </c>
      <c r="B312" s="33">
        <v>51</v>
      </c>
      <c r="C312" s="34" t="s">
        <v>66</v>
      </c>
      <c r="D312" s="280" t="s">
        <v>262</v>
      </c>
      <c r="E312" s="21" t="s">
        <v>144</v>
      </c>
      <c r="F312" s="155" t="s">
        <v>106</v>
      </c>
      <c r="G312" s="91">
        <v>95</v>
      </c>
      <c r="H312" s="17">
        <v>43</v>
      </c>
      <c r="I312" s="10">
        <v>4</v>
      </c>
      <c r="J312" s="92">
        <v>105</v>
      </c>
      <c r="K312" s="10">
        <v>52</v>
      </c>
      <c r="L312" s="10">
        <v>4</v>
      </c>
      <c r="M312" s="91">
        <v>86</v>
      </c>
      <c r="N312" s="17">
        <v>40</v>
      </c>
      <c r="O312" s="10">
        <v>4</v>
      </c>
      <c r="P312" s="91">
        <v>120</v>
      </c>
      <c r="Q312" s="17">
        <v>66</v>
      </c>
      <c r="R312" s="10">
        <v>4</v>
      </c>
      <c r="S312" s="92">
        <f t="shared" si="110"/>
        <v>406</v>
      </c>
      <c r="T312" s="17">
        <f t="shared" si="111"/>
        <v>201</v>
      </c>
      <c r="U312" s="12">
        <v>40</v>
      </c>
      <c r="V312" s="35">
        <v>20</v>
      </c>
      <c r="W312" s="93">
        <f>I312+L312+O312+R312</f>
        <v>16</v>
      </c>
      <c r="X312" s="108"/>
    </row>
    <row r="313" spans="1:24" s="24" customFormat="1" ht="30" customHeight="1" x14ac:dyDescent="0.25">
      <c r="A313" s="155" t="s">
        <v>149</v>
      </c>
      <c r="B313" s="20">
        <v>52</v>
      </c>
      <c r="C313" s="21" t="s">
        <v>72</v>
      </c>
      <c r="D313" s="280" t="s">
        <v>264</v>
      </c>
      <c r="E313" s="21" t="s">
        <v>29</v>
      </c>
      <c r="F313" s="155" t="s">
        <v>105</v>
      </c>
      <c r="G313" s="146">
        <v>54</v>
      </c>
      <c r="H313" s="145">
        <v>28</v>
      </c>
      <c r="I313" s="155">
        <v>2</v>
      </c>
      <c r="J313" s="154">
        <v>47</v>
      </c>
      <c r="K313" s="155">
        <v>22</v>
      </c>
      <c r="L313" s="155">
        <v>2</v>
      </c>
      <c r="M313" s="146">
        <v>49</v>
      </c>
      <c r="N313" s="145">
        <v>24</v>
      </c>
      <c r="O313" s="155">
        <v>2</v>
      </c>
      <c r="P313" s="146">
        <v>54</v>
      </c>
      <c r="Q313" s="145">
        <v>28</v>
      </c>
      <c r="R313" s="155">
        <v>2</v>
      </c>
      <c r="S313" s="77">
        <f t="shared" si="110"/>
        <v>204</v>
      </c>
      <c r="T313" s="78">
        <f t="shared" si="111"/>
        <v>102</v>
      </c>
      <c r="U313" s="79">
        <v>14</v>
      </c>
      <c r="V313" s="23">
        <v>8</v>
      </c>
      <c r="W313" s="80">
        <f>I313+L313+O313+R313</f>
        <v>8</v>
      </c>
      <c r="X313" s="13"/>
    </row>
    <row r="314" spans="1:24" s="38" customFormat="1" ht="30" customHeight="1" x14ac:dyDescent="0.25">
      <c r="A314" s="10" t="s">
        <v>149</v>
      </c>
      <c r="B314" s="33">
        <v>54</v>
      </c>
      <c r="C314" s="34" t="s">
        <v>89</v>
      </c>
      <c r="D314" s="280" t="s">
        <v>265</v>
      </c>
      <c r="E314" s="21" t="s">
        <v>111</v>
      </c>
      <c r="F314" s="155" t="s">
        <v>107</v>
      </c>
      <c r="G314" s="8">
        <v>40</v>
      </c>
      <c r="H314" s="9">
        <v>24</v>
      </c>
      <c r="I314" s="10">
        <v>2</v>
      </c>
      <c r="J314" s="92">
        <v>46</v>
      </c>
      <c r="K314" s="10">
        <v>21</v>
      </c>
      <c r="L314" s="10">
        <v>2</v>
      </c>
      <c r="M314" s="8">
        <v>35</v>
      </c>
      <c r="N314" s="9">
        <v>19</v>
      </c>
      <c r="O314" s="10">
        <v>2</v>
      </c>
      <c r="P314" s="8">
        <v>40</v>
      </c>
      <c r="Q314" s="9">
        <v>23</v>
      </c>
      <c r="R314" s="10">
        <v>2</v>
      </c>
      <c r="S314" s="92">
        <f t="shared" si="110"/>
        <v>161</v>
      </c>
      <c r="T314" s="17">
        <f t="shared" si="111"/>
        <v>87</v>
      </c>
      <c r="U314" s="12">
        <v>9</v>
      </c>
      <c r="V314" s="35">
        <v>4</v>
      </c>
      <c r="W314" s="93">
        <f>I314+L314+O314+R314</f>
        <v>8</v>
      </c>
      <c r="X314" s="108"/>
    </row>
    <row r="315" spans="1:24" s="38" customFormat="1" ht="30" customHeight="1" x14ac:dyDescent="0.25">
      <c r="A315" s="10" t="s">
        <v>149</v>
      </c>
      <c r="B315" s="33">
        <v>56</v>
      </c>
      <c r="C315" s="34" t="s">
        <v>83</v>
      </c>
      <c r="D315" s="280" t="s">
        <v>266</v>
      </c>
      <c r="E315" s="21" t="s">
        <v>152</v>
      </c>
      <c r="F315" s="155" t="s">
        <v>107</v>
      </c>
      <c r="G315" s="8">
        <v>70</v>
      </c>
      <c r="H315" s="9">
        <v>31</v>
      </c>
      <c r="I315" s="10">
        <v>3</v>
      </c>
      <c r="J315" s="92">
        <v>77</v>
      </c>
      <c r="K315" s="10">
        <v>39</v>
      </c>
      <c r="L315" s="10">
        <v>3</v>
      </c>
      <c r="M315" s="8">
        <v>93</v>
      </c>
      <c r="N315" s="9">
        <v>36</v>
      </c>
      <c r="O315" s="10">
        <v>4</v>
      </c>
      <c r="P315" s="8">
        <v>74</v>
      </c>
      <c r="Q315" s="9">
        <v>38</v>
      </c>
      <c r="R315" s="10">
        <v>3</v>
      </c>
      <c r="S315" s="92">
        <f t="shared" si="110"/>
        <v>314</v>
      </c>
      <c r="T315" s="17">
        <f t="shared" si="111"/>
        <v>144</v>
      </c>
      <c r="U315" s="12">
        <v>29</v>
      </c>
      <c r="V315" s="35">
        <v>15</v>
      </c>
      <c r="W315" s="93">
        <f>I315+L315+O315+R315</f>
        <v>13</v>
      </c>
      <c r="X315" s="108"/>
    </row>
    <row r="316" spans="1:24" s="24" customFormat="1" ht="30" customHeight="1" x14ac:dyDescent="0.25">
      <c r="A316" s="155" t="s">
        <v>149</v>
      </c>
      <c r="B316" s="20">
        <v>57</v>
      </c>
      <c r="C316" s="21" t="s">
        <v>63</v>
      </c>
      <c r="D316" s="280" t="s">
        <v>267</v>
      </c>
      <c r="E316" s="21" t="s">
        <v>23</v>
      </c>
      <c r="F316" s="155" t="s">
        <v>105</v>
      </c>
      <c r="G316" s="146">
        <v>96</v>
      </c>
      <c r="H316" s="145">
        <v>37</v>
      </c>
      <c r="I316" s="155">
        <v>4</v>
      </c>
      <c r="J316" s="154">
        <v>95</v>
      </c>
      <c r="K316" s="155">
        <v>46</v>
      </c>
      <c r="L316" s="155">
        <v>4</v>
      </c>
      <c r="M316" s="146">
        <v>93</v>
      </c>
      <c r="N316" s="145">
        <v>43</v>
      </c>
      <c r="O316" s="155">
        <v>4</v>
      </c>
      <c r="P316" s="146">
        <v>100</v>
      </c>
      <c r="Q316" s="145">
        <v>43</v>
      </c>
      <c r="R316" s="155">
        <v>4</v>
      </c>
      <c r="S316" s="77">
        <f t="shared" si="110"/>
        <v>384</v>
      </c>
      <c r="T316" s="78">
        <f t="shared" si="111"/>
        <v>169</v>
      </c>
      <c r="U316" s="79">
        <v>30</v>
      </c>
      <c r="V316" s="23">
        <v>12</v>
      </c>
      <c r="W316" s="80">
        <f>I316+L316+O316+R316</f>
        <v>16</v>
      </c>
      <c r="X316" s="13"/>
    </row>
    <row r="317" spans="1:24" s="19" customFormat="1" ht="34.5" customHeight="1" x14ac:dyDescent="0.25">
      <c r="A317" s="155" t="s">
        <v>149</v>
      </c>
      <c r="B317" s="45">
        <v>58</v>
      </c>
      <c r="C317" s="46" t="s">
        <v>50</v>
      </c>
      <c r="D317" s="282" t="s">
        <v>268</v>
      </c>
      <c r="E317" s="46" t="s">
        <v>12</v>
      </c>
      <c r="F317" s="149" t="s">
        <v>105</v>
      </c>
      <c r="G317" s="146">
        <v>44</v>
      </c>
      <c r="H317" s="145">
        <v>19</v>
      </c>
      <c r="I317" s="155">
        <v>2</v>
      </c>
      <c r="J317" s="154">
        <v>62</v>
      </c>
      <c r="K317" s="155">
        <v>33</v>
      </c>
      <c r="L317" s="155">
        <v>3</v>
      </c>
      <c r="M317" s="146">
        <v>48</v>
      </c>
      <c r="N317" s="145">
        <v>23</v>
      </c>
      <c r="O317" s="155">
        <v>2</v>
      </c>
      <c r="P317" s="146">
        <v>48</v>
      </c>
      <c r="Q317" s="145">
        <v>22</v>
      </c>
      <c r="R317" s="155">
        <v>2</v>
      </c>
      <c r="S317" s="77">
        <f t="shared" si="110"/>
        <v>202</v>
      </c>
      <c r="T317" s="78">
        <f t="shared" si="111"/>
        <v>97</v>
      </c>
      <c r="U317" s="79">
        <v>7</v>
      </c>
      <c r="V317" s="23">
        <v>4</v>
      </c>
      <c r="W317" s="80">
        <f>I317+L317+O317+R317</f>
        <v>9</v>
      </c>
      <c r="X317" s="123"/>
    </row>
    <row r="318" spans="1:24" s="24" customFormat="1" ht="30" customHeight="1" thickBot="1" x14ac:dyDescent="0.3">
      <c r="A318" s="36" t="s">
        <v>149</v>
      </c>
      <c r="B318" s="351" t="s">
        <v>96</v>
      </c>
      <c r="C318" s="352"/>
      <c r="D318" s="352"/>
      <c r="E318" s="352"/>
      <c r="F318" s="353"/>
      <c r="G318" s="40">
        <f t="shared" ref="G318:H318" si="132">SUM(G310:G317)</f>
        <v>553</v>
      </c>
      <c r="H318" s="64">
        <f t="shared" si="132"/>
        <v>252</v>
      </c>
      <c r="I318" s="81">
        <f t="shared" ref="I318:W318" si="133">SUM(I310:I317)</f>
        <v>23</v>
      </c>
      <c r="J318" s="27">
        <v>593</v>
      </c>
      <c r="K318" s="81">
        <v>289</v>
      </c>
      <c r="L318" s="96">
        <f t="shared" si="133"/>
        <v>24</v>
      </c>
      <c r="M318" s="26">
        <f t="shared" si="133"/>
        <v>544</v>
      </c>
      <c r="N318" s="64">
        <f t="shared" si="133"/>
        <v>266</v>
      </c>
      <c r="O318" s="81">
        <f t="shared" si="133"/>
        <v>24</v>
      </c>
      <c r="P318" s="26">
        <f t="shared" si="133"/>
        <v>584</v>
      </c>
      <c r="Q318" s="64">
        <f t="shared" si="133"/>
        <v>291</v>
      </c>
      <c r="R318" s="81">
        <f t="shared" si="133"/>
        <v>23</v>
      </c>
      <c r="S318" s="42">
        <f t="shared" si="110"/>
        <v>2274</v>
      </c>
      <c r="T318" s="95">
        <f t="shared" si="111"/>
        <v>1098</v>
      </c>
      <c r="U318" s="25">
        <f t="shared" si="133"/>
        <v>221</v>
      </c>
      <c r="V318" s="84">
        <f t="shared" si="133"/>
        <v>106</v>
      </c>
      <c r="W318" s="85">
        <f t="shared" si="133"/>
        <v>94</v>
      </c>
      <c r="X318" s="13"/>
    </row>
    <row r="319" spans="1:24" s="38" customFormat="1" ht="30" customHeight="1" x14ac:dyDescent="0.25">
      <c r="A319" s="37" t="s">
        <v>149</v>
      </c>
      <c r="B319" s="33">
        <v>61</v>
      </c>
      <c r="C319" s="34" t="s">
        <v>69</v>
      </c>
      <c r="D319" s="280" t="s">
        <v>269</v>
      </c>
      <c r="E319" s="21" t="s">
        <v>139</v>
      </c>
      <c r="F319" s="155" t="s">
        <v>106</v>
      </c>
      <c r="G319" s="91">
        <v>54</v>
      </c>
      <c r="H319" s="17">
        <v>26</v>
      </c>
      <c r="I319" s="10">
        <v>2</v>
      </c>
      <c r="J319" s="92">
        <v>53</v>
      </c>
      <c r="K319" s="10">
        <v>24</v>
      </c>
      <c r="L319" s="10">
        <v>2</v>
      </c>
      <c r="M319" s="91">
        <v>35</v>
      </c>
      <c r="N319" s="17">
        <v>18</v>
      </c>
      <c r="O319" s="10">
        <v>2</v>
      </c>
      <c r="P319" s="91">
        <v>45</v>
      </c>
      <c r="Q319" s="17">
        <v>23</v>
      </c>
      <c r="R319" s="10">
        <v>2</v>
      </c>
      <c r="S319" s="92">
        <f t="shared" si="110"/>
        <v>187</v>
      </c>
      <c r="T319" s="17">
        <f t="shared" si="111"/>
        <v>91</v>
      </c>
      <c r="U319" s="12">
        <v>65</v>
      </c>
      <c r="V319" s="35">
        <v>34</v>
      </c>
      <c r="W319" s="93">
        <f>I319+L319+O319+R319</f>
        <v>8</v>
      </c>
      <c r="X319" s="108"/>
    </row>
    <row r="320" spans="1:24" s="24" customFormat="1" ht="30" customHeight="1" x14ac:dyDescent="0.25">
      <c r="A320" s="44" t="s">
        <v>149</v>
      </c>
      <c r="B320" s="20">
        <v>61</v>
      </c>
      <c r="C320" s="21" t="s">
        <v>69</v>
      </c>
      <c r="D320" s="280" t="s">
        <v>271</v>
      </c>
      <c r="E320" s="21" t="s">
        <v>146</v>
      </c>
      <c r="F320" s="155" t="s">
        <v>105</v>
      </c>
      <c r="G320" s="146">
        <v>60</v>
      </c>
      <c r="H320" s="145">
        <v>27</v>
      </c>
      <c r="I320" s="155">
        <v>3</v>
      </c>
      <c r="J320" s="154">
        <v>71</v>
      </c>
      <c r="K320" s="155">
        <v>37</v>
      </c>
      <c r="L320" s="155">
        <v>3</v>
      </c>
      <c r="M320" s="146">
        <v>58</v>
      </c>
      <c r="N320" s="145">
        <v>27</v>
      </c>
      <c r="O320" s="155">
        <v>3</v>
      </c>
      <c r="P320" s="146">
        <v>65</v>
      </c>
      <c r="Q320" s="145">
        <v>23</v>
      </c>
      <c r="R320" s="155">
        <v>3</v>
      </c>
      <c r="S320" s="77">
        <f t="shared" si="110"/>
        <v>254</v>
      </c>
      <c r="T320" s="17">
        <f t="shared" si="111"/>
        <v>114</v>
      </c>
      <c r="U320" s="79">
        <v>33</v>
      </c>
      <c r="V320" s="23">
        <v>19</v>
      </c>
      <c r="W320" s="80">
        <f>I320+L320+O320+R320</f>
        <v>12</v>
      </c>
      <c r="X320" s="13"/>
    </row>
    <row r="321" spans="1:24" s="38" customFormat="1" ht="30" customHeight="1" x14ac:dyDescent="0.25">
      <c r="A321" s="29" t="s">
        <v>149</v>
      </c>
      <c r="B321" s="47">
        <v>62</v>
      </c>
      <c r="C321" s="48" t="s">
        <v>77</v>
      </c>
      <c r="D321" s="113" t="s">
        <v>272</v>
      </c>
      <c r="E321" s="11" t="s">
        <v>76</v>
      </c>
      <c r="F321" s="145" t="s">
        <v>106</v>
      </c>
      <c r="G321" s="91">
        <v>56</v>
      </c>
      <c r="H321" s="17">
        <v>31</v>
      </c>
      <c r="I321" s="10">
        <v>3</v>
      </c>
      <c r="J321" s="92">
        <v>65</v>
      </c>
      <c r="K321" s="10">
        <v>39</v>
      </c>
      <c r="L321" s="97">
        <v>3</v>
      </c>
      <c r="M321" s="91">
        <v>58</v>
      </c>
      <c r="N321" s="17">
        <v>31</v>
      </c>
      <c r="O321" s="10">
        <v>3</v>
      </c>
      <c r="P321" s="91">
        <v>45</v>
      </c>
      <c r="Q321" s="17">
        <v>21</v>
      </c>
      <c r="R321" s="10">
        <v>2</v>
      </c>
      <c r="S321" s="91">
        <f t="shared" si="110"/>
        <v>224</v>
      </c>
      <c r="T321" s="17">
        <f t="shared" si="111"/>
        <v>122</v>
      </c>
      <c r="U321" s="12">
        <v>18</v>
      </c>
      <c r="V321" s="35">
        <v>10</v>
      </c>
      <c r="W321" s="93">
        <f>I321+L321+O321+R321</f>
        <v>11</v>
      </c>
      <c r="X321" s="108"/>
    </row>
    <row r="322" spans="1:24" s="38" customFormat="1" ht="30" customHeight="1" x14ac:dyDescent="0.25">
      <c r="A322" s="10" t="s">
        <v>149</v>
      </c>
      <c r="B322" s="47">
        <v>63</v>
      </c>
      <c r="C322" s="48" t="s">
        <v>80</v>
      </c>
      <c r="D322" s="113" t="s">
        <v>273</v>
      </c>
      <c r="E322" s="11" t="s">
        <v>110</v>
      </c>
      <c r="F322" s="145" t="s">
        <v>107</v>
      </c>
      <c r="G322" s="8">
        <v>43</v>
      </c>
      <c r="H322" s="9">
        <v>29</v>
      </c>
      <c r="I322" s="10">
        <v>2</v>
      </c>
      <c r="J322" s="92">
        <v>45</v>
      </c>
      <c r="K322" s="10">
        <v>19</v>
      </c>
      <c r="L322" s="97">
        <v>2</v>
      </c>
      <c r="M322" s="8">
        <v>43</v>
      </c>
      <c r="N322" s="9">
        <v>22</v>
      </c>
      <c r="O322" s="10">
        <v>2</v>
      </c>
      <c r="P322" s="8">
        <v>51</v>
      </c>
      <c r="Q322" s="9">
        <v>24</v>
      </c>
      <c r="R322" s="10">
        <v>2</v>
      </c>
      <c r="S322" s="91">
        <f t="shared" si="110"/>
        <v>182</v>
      </c>
      <c r="T322" s="17">
        <f t="shared" si="111"/>
        <v>94</v>
      </c>
      <c r="U322" s="12">
        <v>15</v>
      </c>
      <c r="V322" s="35">
        <v>7</v>
      </c>
      <c r="W322" s="93">
        <f>I322+L322+O322+R322</f>
        <v>8</v>
      </c>
      <c r="X322" s="108"/>
    </row>
    <row r="323" spans="1:24" s="38" customFormat="1" ht="30" customHeight="1" x14ac:dyDescent="0.25">
      <c r="A323" s="10" t="s">
        <v>149</v>
      </c>
      <c r="B323" s="47">
        <v>63</v>
      </c>
      <c r="C323" s="48" t="s">
        <v>80</v>
      </c>
      <c r="D323" s="113" t="s">
        <v>274</v>
      </c>
      <c r="E323" s="11" t="s">
        <v>131</v>
      </c>
      <c r="F323" s="145" t="s">
        <v>107</v>
      </c>
      <c r="G323" s="8">
        <v>56</v>
      </c>
      <c r="H323" s="9">
        <v>29</v>
      </c>
      <c r="I323" s="10">
        <v>3</v>
      </c>
      <c r="J323" s="92">
        <v>59</v>
      </c>
      <c r="K323" s="10">
        <v>21</v>
      </c>
      <c r="L323" s="97">
        <v>3</v>
      </c>
      <c r="M323" s="8">
        <v>57</v>
      </c>
      <c r="N323" s="9">
        <v>29</v>
      </c>
      <c r="O323" s="10">
        <v>3</v>
      </c>
      <c r="P323" s="8">
        <v>69</v>
      </c>
      <c r="Q323" s="9">
        <v>43</v>
      </c>
      <c r="R323" s="10">
        <v>3</v>
      </c>
      <c r="S323" s="91">
        <f t="shared" si="110"/>
        <v>241</v>
      </c>
      <c r="T323" s="17">
        <f t="shared" si="111"/>
        <v>122</v>
      </c>
      <c r="U323" s="12">
        <v>76</v>
      </c>
      <c r="V323" s="35">
        <v>36</v>
      </c>
      <c r="W323" s="93">
        <f>I323+L323+O323+R323</f>
        <v>12</v>
      </c>
      <c r="X323" s="108"/>
    </row>
    <row r="324" spans="1:24" s="24" customFormat="1" ht="31.95" customHeight="1" x14ac:dyDescent="0.25">
      <c r="A324" s="155" t="s">
        <v>149</v>
      </c>
      <c r="B324" s="163">
        <v>68</v>
      </c>
      <c r="C324" s="49" t="s">
        <v>56</v>
      </c>
      <c r="D324" s="283" t="s">
        <v>275</v>
      </c>
      <c r="E324" s="49" t="s">
        <v>150</v>
      </c>
      <c r="F324" s="152" t="s">
        <v>105</v>
      </c>
      <c r="G324" s="146">
        <v>33</v>
      </c>
      <c r="H324" s="145">
        <v>12</v>
      </c>
      <c r="I324" s="155">
        <v>1.5</v>
      </c>
      <c r="J324" s="154">
        <v>35</v>
      </c>
      <c r="K324" s="155">
        <v>16</v>
      </c>
      <c r="L324" s="157">
        <v>1.5</v>
      </c>
      <c r="M324" s="146">
        <v>29</v>
      </c>
      <c r="N324" s="145">
        <v>15</v>
      </c>
      <c r="O324" s="155">
        <v>1</v>
      </c>
      <c r="P324" s="146">
        <v>35</v>
      </c>
      <c r="Q324" s="145">
        <v>18</v>
      </c>
      <c r="R324" s="155">
        <v>2</v>
      </c>
      <c r="S324" s="98">
        <f t="shared" si="110"/>
        <v>132</v>
      </c>
      <c r="T324" s="78">
        <f t="shared" si="111"/>
        <v>61</v>
      </c>
      <c r="U324" s="79">
        <v>9</v>
      </c>
      <c r="V324" s="23">
        <v>4</v>
      </c>
      <c r="W324" s="80">
        <f>I324+L324+O324+R324</f>
        <v>6</v>
      </c>
      <c r="X324" s="13"/>
    </row>
    <row r="325" spans="1:24" s="24" customFormat="1" ht="30" customHeight="1" thickBot="1" x14ac:dyDescent="0.3">
      <c r="A325" s="36" t="s">
        <v>149</v>
      </c>
      <c r="B325" s="351" t="s">
        <v>98</v>
      </c>
      <c r="C325" s="352"/>
      <c r="D325" s="352"/>
      <c r="E325" s="352"/>
      <c r="F325" s="353"/>
      <c r="G325" s="40">
        <f t="shared" ref="G325:H325" si="134">SUM(G319:G324)</f>
        <v>302</v>
      </c>
      <c r="H325" s="64">
        <f t="shared" si="134"/>
        <v>154</v>
      </c>
      <c r="I325" s="81">
        <f t="shared" ref="I325:W325" si="135">SUM(I319:I324)</f>
        <v>14.5</v>
      </c>
      <c r="J325" s="27">
        <v>328</v>
      </c>
      <c r="K325" s="81">
        <v>156</v>
      </c>
      <c r="L325" s="109">
        <f t="shared" si="135"/>
        <v>14.5</v>
      </c>
      <c r="M325" s="26">
        <f t="shared" si="135"/>
        <v>280</v>
      </c>
      <c r="N325" s="64">
        <f t="shared" si="135"/>
        <v>142</v>
      </c>
      <c r="O325" s="81">
        <f t="shared" si="135"/>
        <v>14</v>
      </c>
      <c r="P325" s="26">
        <f t="shared" si="135"/>
        <v>310</v>
      </c>
      <c r="Q325" s="64">
        <f t="shared" si="135"/>
        <v>152</v>
      </c>
      <c r="R325" s="81">
        <f t="shared" si="135"/>
        <v>14</v>
      </c>
      <c r="S325" s="42">
        <f t="shared" si="110"/>
        <v>1220</v>
      </c>
      <c r="T325" s="95">
        <f t="shared" si="111"/>
        <v>604</v>
      </c>
      <c r="U325" s="25">
        <f t="shared" si="135"/>
        <v>216</v>
      </c>
      <c r="V325" s="84">
        <f t="shared" si="135"/>
        <v>110</v>
      </c>
      <c r="W325" s="85">
        <f t="shared" si="135"/>
        <v>57</v>
      </c>
      <c r="X325" s="13"/>
    </row>
    <row r="326" spans="1:24" s="38" customFormat="1" ht="30" customHeight="1" x14ac:dyDescent="0.25">
      <c r="A326" s="10" t="s">
        <v>149</v>
      </c>
      <c r="B326" s="47">
        <v>71</v>
      </c>
      <c r="C326" s="48" t="s">
        <v>71</v>
      </c>
      <c r="D326" s="113" t="s">
        <v>276</v>
      </c>
      <c r="E326" s="11" t="s">
        <v>39</v>
      </c>
      <c r="F326" s="145" t="s">
        <v>107</v>
      </c>
      <c r="G326" s="8">
        <v>52</v>
      </c>
      <c r="H326" s="9">
        <v>26</v>
      </c>
      <c r="I326" s="10">
        <v>2</v>
      </c>
      <c r="J326" s="92">
        <v>58</v>
      </c>
      <c r="K326" s="10">
        <v>23</v>
      </c>
      <c r="L326" s="97">
        <v>2</v>
      </c>
      <c r="M326" s="8">
        <v>43</v>
      </c>
      <c r="N326" s="9">
        <v>22</v>
      </c>
      <c r="O326" s="10">
        <v>2</v>
      </c>
      <c r="P326" s="8">
        <v>39</v>
      </c>
      <c r="Q326" s="9">
        <v>18</v>
      </c>
      <c r="R326" s="10">
        <v>2</v>
      </c>
      <c r="S326" s="91">
        <f t="shared" si="110"/>
        <v>192</v>
      </c>
      <c r="T326" s="17">
        <f t="shared" si="111"/>
        <v>89</v>
      </c>
      <c r="U326" s="12">
        <v>5</v>
      </c>
      <c r="V326" s="35">
        <v>1</v>
      </c>
      <c r="W326" s="99">
        <f>I326+L326+O326+R326</f>
        <v>8</v>
      </c>
      <c r="X326" s="108"/>
    </row>
    <row r="327" spans="1:24" s="24" customFormat="1" ht="30" customHeight="1" x14ac:dyDescent="0.25">
      <c r="A327" s="155" t="s">
        <v>149</v>
      </c>
      <c r="B327" s="39">
        <v>71</v>
      </c>
      <c r="C327" s="11" t="s">
        <v>71</v>
      </c>
      <c r="D327" s="113" t="s">
        <v>278</v>
      </c>
      <c r="E327" s="11" t="s">
        <v>28</v>
      </c>
      <c r="F327" s="145" t="s">
        <v>105</v>
      </c>
      <c r="G327" s="146">
        <v>28</v>
      </c>
      <c r="H327" s="145">
        <v>14</v>
      </c>
      <c r="I327" s="155">
        <v>1</v>
      </c>
      <c r="J327" s="154">
        <v>30</v>
      </c>
      <c r="K327" s="155">
        <v>16</v>
      </c>
      <c r="L327" s="157">
        <v>1</v>
      </c>
      <c r="M327" s="146">
        <v>23</v>
      </c>
      <c r="N327" s="145">
        <v>9</v>
      </c>
      <c r="O327" s="155">
        <v>1</v>
      </c>
      <c r="P327" s="146">
        <v>29</v>
      </c>
      <c r="Q327" s="145">
        <v>9</v>
      </c>
      <c r="R327" s="155">
        <v>1</v>
      </c>
      <c r="S327" s="98">
        <f t="shared" si="110"/>
        <v>110</v>
      </c>
      <c r="T327" s="78">
        <f t="shared" si="111"/>
        <v>48</v>
      </c>
      <c r="U327" s="79">
        <v>1</v>
      </c>
      <c r="V327" s="23">
        <v>1</v>
      </c>
      <c r="W327" s="284">
        <f>I327+L327+O327+R327</f>
        <v>4</v>
      </c>
      <c r="X327" s="13"/>
    </row>
    <row r="328" spans="1:24" s="19" customFormat="1" ht="30" customHeight="1" thickBot="1" x14ac:dyDescent="0.3">
      <c r="A328" s="50" t="s">
        <v>149</v>
      </c>
      <c r="B328" s="47">
        <v>76</v>
      </c>
      <c r="C328" s="48" t="s">
        <v>78</v>
      </c>
      <c r="D328" s="113" t="s">
        <v>279</v>
      </c>
      <c r="E328" s="11" t="s">
        <v>151</v>
      </c>
      <c r="F328" s="145" t="s">
        <v>107</v>
      </c>
      <c r="G328" s="8">
        <v>31</v>
      </c>
      <c r="H328" s="9">
        <v>16</v>
      </c>
      <c r="I328" s="10">
        <v>1.5</v>
      </c>
      <c r="J328" s="92">
        <v>32</v>
      </c>
      <c r="K328" s="10">
        <v>13</v>
      </c>
      <c r="L328" s="97">
        <v>1.5</v>
      </c>
      <c r="M328" s="100">
        <v>26</v>
      </c>
      <c r="N328" s="9">
        <v>15</v>
      </c>
      <c r="O328" s="10">
        <v>1</v>
      </c>
      <c r="P328" s="8">
        <v>26</v>
      </c>
      <c r="Q328" s="9">
        <v>13</v>
      </c>
      <c r="R328" s="10">
        <v>1</v>
      </c>
      <c r="S328" s="91">
        <f t="shared" ref="S328:S391" si="136">G328+J328+M328+P328</f>
        <v>115</v>
      </c>
      <c r="T328" s="17">
        <f t="shared" ref="T328:T391" si="137">H328+K328+N328+Q328</f>
        <v>57</v>
      </c>
      <c r="U328" s="12">
        <v>0</v>
      </c>
      <c r="V328" s="35">
        <v>0</v>
      </c>
      <c r="W328" s="93">
        <f>I328+L328+O328+R328</f>
        <v>5</v>
      </c>
      <c r="X328" s="123"/>
    </row>
    <row r="329" spans="1:24" s="24" customFormat="1" ht="30" customHeight="1" x14ac:dyDescent="0.25">
      <c r="A329" s="158" t="s">
        <v>149</v>
      </c>
      <c r="B329" s="39">
        <v>77</v>
      </c>
      <c r="C329" s="11" t="s">
        <v>59</v>
      </c>
      <c r="D329" s="113" t="s">
        <v>280</v>
      </c>
      <c r="E329" s="11" t="s">
        <v>20</v>
      </c>
      <c r="F329" s="145" t="s">
        <v>105</v>
      </c>
      <c r="G329" s="146">
        <v>43</v>
      </c>
      <c r="H329" s="145">
        <v>21</v>
      </c>
      <c r="I329" s="155">
        <v>2</v>
      </c>
      <c r="J329" s="154">
        <v>57</v>
      </c>
      <c r="K329" s="155">
        <v>27</v>
      </c>
      <c r="L329" s="155">
        <v>2</v>
      </c>
      <c r="M329" s="146">
        <v>51</v>
      </c>
      <c r="N329" s="145">
        <v>27</v>
      </c>
      <c r="O329" s="155">
        <v>2</v>
      </c>
      <c r="P329" s="146">
        <v>43</v>
      </c>
      <c r="Q329" s="145">
        <v>20</v>
      </c>
      <c r="R329" s="155">
        <v>2</v>
      </c>
      <c r="S329" s="98">
        <f t="shared" si="136"/>
        <v>194</v>
      </c>
      <c r="T329" s="78">
        <f t="shared" si="137"/>
        <v>95</v>
      </c>
      <c r="U329" s="79">
        <v>5</v>
      </c>
      <c r="V329" s="22">
        <v>2</v>
      </c>
      <c r="W329" s="80">
        <f>I329+L329+O329+R329</f>
        <v>8</v>
      </c>
      <c r="X329" s="13"/>
    </row>
    <row r="330" spans="1:24" s="38" customFormat="1" ht="30" customHeight="1" x14ac:dyDescent="0.25">
      <c r="A330" s="50" t="s">
        <v>149</v>
      </c>
      <c r="B330" s="51">
        <v>77</v>
      </c>
      <c r="C330" s="48" t="s">
        <v>59</v>
      </c>
      <c r="D330" s="113" t="s">
        <v>281</v>
      </c>
      <c r="E330" s="11" t="s">
        <v>40</v>
      </c>
      <c r="F330" s="145" t="s">
        <v>107</v>
      </c>
      <c r="G330" s="8">
        <v>46</v>
      </c>
      <c r="H330" s="9">
        <v>15</v>
      </c>
      <c r="I330" s="10">
        <v>2</v>
      </c>
      <c r="J330" s="92">
        <v>47</v>
      </c>
      <c r="K330" s="10">
        <v>28</v>
      </c>
      <c r="L330" s="10">
        <v>2</v>
      </c>
      <c r="M330" s="8">
        <v>42</v>
      </c>
      <c r="N330" s="9">
        <v>20</v>
      </c>
      <c r="O330" s="10">
        <v>2</v>
      </c>
      <c r="P330" s="8">
        <v>38</v>
      </c>
      <c r="Q330" s="9">
        <v>20</v>
      </c>
      <c r="R330" s="10">
        <v>2</v>
      </c>
      <c r="S330" s="91">
        <f t="shared" si="136"/>
        <v>173</v>
      </c>
      <c r="T330" s="17">
        <f t="shared" si="137"/>
        <v>83</v>
      </c>
      <c r="U330" s="12">
        <v>20</v>
      </c>
      <c r="V330" s="16">
        <v>10</v>
      </c>
      <c r="W330" s="93">
        <f>I330+L330+O330+R330</f>
        <v>8</v>
      </c>
      <c r="X330" s="108"/>
    </row>
    <row r="331" spans="1:24" s="24" customFormat="1" ht="30" customHeight="1" thickBot="1" x14ac:dyDescent="0.3">
      <c r="A331" s="36" t="s">
        <v>149</v>
      </c>
      <c r="B331" s="351" t="s">
        <v>97</v>
      </c>
      <c r="C331" s="352"/>
      <c r="D331" s="352"/>
      <c r="E331" s="352"/>
      <c r="F331" s="353"/>
      <c r="G331" s="40">
        <f t="shared" ref="G331:H331" si="138">SUM(G326:G330)</f>
        <v>200</v>
      </c>
      <c r="H331" s="64">
        <f t="shared" si="138"/>
        <v>92</v>
      </c>
      <c r="I331" s="81">
        <f t="shared" ref="I331:W331" si="139">SUM(I326:I330)</f>
        <v>8.5</v>
      </c>
      <c r="J331" s="27">
        <v>224</v>
      </c>
      <c r="K331" s="81">
        <v>107</v>
      </c>
      <c r="L331" s="109">
        <f t="shared" si="139"/>
        <v>8.5</v>
      </c>
      <c r="M331" s="26">
        <f t="shared" si="139"/>
        <v>185</v>
      </c>
      <c r="N331" s="64">
        <f t="shared" si="139"/>
        <v>93</v>
      </c>
      <c r="O331" s="81">
        <f t="shared" si="139"/>
        <v>8</v>
      </c>
      <c r="P331" s="26">
        <f t="shared" si="139"/>
        <v>175</v>
      </c>
      <c r="Q331" s="64">
        <f t="shared" si="139"/>
        <v>80</v>
      </c>
      <c r="R331" s="81">
        <f t="shared" si="139"/>
        <v>8</v>
      </c>
      <c r="S331" s="42">
        <f t="shared" si="136"/>
        <v>784</v>
      </c>
      <c r="T331" s="95">
        <f t="shared" si="137"/>
        <v>372</v>
      </c>
      <c r="U331" s="25">
        <f t="shared" si="139"/>
        <v>31</v>
      </c>
      <c r="V331" s="84">
        <f t="shared" si="139"/>
        <v>14</v>
      </c>
      <c r="W331" s="85">
        <f t="shared" si="139"/>
        <v>33</v>
      </c>
      <c r="X331" s="13"/>
    </row>
    <row r="332" spans="1:24" s="24" customFormat="1" ht="30" customHeight="1" x14ac:dyDescent="0.25">
      <c r="A332" s="155" t="s">
        <v>149</v>
      </c>
      <c r="B332" s="39">
        <v>82</v>
      </c>
      <c r="C332" s="11" t="s">
        <v>58</v>
      </c>
      <c r="D332" s="113" t="s">
        <v>282</v>
      </c>
      <c r="E332" s="11" t="s">
        <v>19</v>
      </c>
      <c r="F332" s="145" t="s">
        <v>105</v>
      </c>
      <c r="G332" s="146">
        <v>91</v>
      </c>
      <c r="H332" s="145">
        <v>46</v>
      </c>
      <c r="I332" s="155">
        <v>4</v>
      </c>
      <c r="J332" s="154">
        <v>78</v>
      </c>
      <c r="K332" s="155">
        <v>45</v>
      </c>
      <c r="L332" s="155">
        <v>3</v>
      </c>
      <c r="M332" s="146">
        <v>90</v>
      </c>
      <c r="N332" s="145">
        <v>42</v>
      </c>
      <c r="O332" s="155">
        <v>4</v>
      </c>
      <c r="P332" s="146">
        <v>91</v>
      </c>
      <c r="Q332" s="145">
        <v>46</v>
      </c>
      <c r="R332" s="155">
        <v>4</v>
      </c>
      <c r="S332" s="98">
        <f t="shared" si="136"/>
        <v>350</v>
      </c>
      <c r="T332" s="78">
        <f t="shared" si="137"/>
        <v>179</v>
      </c>
      <c r="U332" s="79">
        <v>30</v>
      </c>
      <c r="V332" s="22">
        <v>9</v>
      </c>
      <c r="W332" s="80">
        <f>I332+L332+O332+R332</f>
        <v>15</v>
      </c>
      <c r="X332" s="13"/>
    </row>
    <row r="333" spans="1:24" s="19" customFormat="1" ht="30" customHeight="1" x14ac:dyDescent="0.25">
      <c r="A333" s="155" t="s">
        <v>149</v>
      </c>
      <c r="B333" s="164">
        <v>86</v>
      </c>
      <c r="C333" s="11" t="s">
        <v>49</v>
      </c>
      <c r="D333" s="285" t="s">
        <v>283</v>
      </c>
      <c r="E333" s="52" t="s">
        <v>11</v>
      </c>
      <c r="F333" s="153" t="s">
        <v>105</v>
      </c>
      <c r="G333" s="151">
        <v>53</v>
      </c>
      <c r="H333" s="153">
        <v>23</v>
      </c>
      <c r="I333" s="147">
        <v>2</v>
      </c>
      <c r="J333" s="286">
        <v>47</v>
      </c>
      <c r="K333" s="147">
        <v>20</v>
      </c>
      <c r="L333" s="147">
        <v>2</v>
      </c>
      <c r="M333" s="151">
        <v>23</v>
      </c>
      <c r="N333" s="153">
        <v>13</v>
      </c>
      <c r="O333" s="147">
        <v>1</v>
      </c>
      <c r="P333" s="151">
        <v>27</v>
      </c>
      <c r="Q333" s="153">
        <v>13</v>
      </c>
      <c r="R333" s="147">
        <v>1</v>
      </c>
      <c r="S333" s="98">
        <f t="shared" si="136"/>
        <v>150</v>
      </c>
      <c r="T333" s="78">
        <f t="shared" si="137"/>
        <v>69</v>
      </c>
      <c r="U333" s="101">
        <v>26</v>
      </c>
      <c r="V333" s="53">
        <v>10</v>
      </c>
      <c r="W333" s="80">
        <f>I333+L333+O333+R333</f>
        <v>6</v>
      </c>
      <c r="X333" s="123"/>
    </row>
    <row r="334" spans="1:24" s="38" customFormat="1" ht="30" customHeight="1" x14ac:dyDescent="0.25">
      <c r="A334" s="10" t="s">
        <v>149</v>
      </c>
      <c r="B334" s="47">
        <v>86</v>
      </c>
      <c r="C334" s="48" t="s">
        <v>49</v>
      </c>
      <c r="D334" s="113" t="s">
        <v>284</v>
      </c>
      <c r="E334" s="54" t="s">
        <v>37</v>
      </c>
      <c r="F334" s="145" t="s">
        <v>107</v>
      </c>
      <c r="G334" s="8">
        <v>43</v>
      </c>
      <c r="H334" s="9">
        <v>19</v>
      </c>
      <c r="I334" s="10">
        <v>2</v>
      </c>
      <c r="J334" s="92">
        <v>40</v>
      </c>
      <c r="K334" s="10">
        <v>25</v>
      </c>
      <c r="L334" s="10">
        <v>2</v>
      </c>
      <c r="M334" s="8">
        <v>65</v>
      </c>
      <c r="N334" s="9">
        <v>35</v>
      </c>
      <c r="O334" s="10">
        <v>3</v>
      </c>
      <c r="P334" s="8">
        <v>66</v>
      </c>
      <c r="Q334" s="9">
        <v>29</v>
      </c>
      <c r="R334" s="10">
        <v>3</v>
      </c>
      <c r="S334" s="91">
        <f t="shared" si="136"/>
        <v>214</v>
      </c>
      <c r="T334" s="17">
        <f t="shared" si="137"/>
        <v>108</v>
      </c>
      <c r="U334" s="12">
        <v>42</v>
      </c>
      <c r="V334" s="16">
        <v>22</v>
      </c>
      <c r="W334" s="93">
        <f>I334+L334+O334+R334</f>
        <v>10</v>
      </c>
      <c r="X334" s="108"/>
    </row>
    <row r="335" spans="1:24" s="24" customFormat="1" ht="30" customHeight="1" x14ac:dyDescent="0.25">
      <c r="A335" s="55" t="s">
        <v>149</v>
      </c>
      <c r="B335" s="160">
        <v>87</v>
      </c>
      <c r="C335" s="11" t="s">
        <v>68</v>
      </c>
      <c r="D335" s="285" t="s">
        <v>285</v>
      </c>
      <c r="E335" s="52" t="s">
        <v>132</v>
      </c>
      <c r="F335" s="153" t="s">
        <v>105</v>
      </c>
      <c r="G335" s="151">
        <v>103</v>
      </c>
      <c r="H335" s="153">
        <v>50</v>
      </c>
      <c r="I335" s="147">
        <v>4</v>
      </c>
      <c r="J335" s="286">
        <v>97</v>
      </c>
      <c r="K335" s="147">
        <v>45</v>
      </c>
      <c r="L335" s="147">
        <v>4</v>
      </c>
      <c r="M335" s="151">
        <v>98</v>
      </c>
      <c r="N335" s="153">
        <v>43</v>
      </c>
      <c r="O335" s="147">
        <v>4</v>
      </c>
      <c r="P335" s="151">
        <v>101</v>
      </c>
      <c r="Q335" s="153">
        <v>46</v>
      </c>
      <c r="R335" s="147">
        <v>4</v>
      </c>
      <c r="S335" s="98">
        <f t="shared" si="136"/>
        <v>399</v>
      </c>
      <c r="T335" s="78">
        <f t="shared" si="137"/>
        <v>184</v>
      </c>
      <c r="U335" s="101">
        <v>34</v>
      </c>
      <c r="V335" s="53">
        <v>19</v>
      </c>
      <c r="W335" s="80">
        <f>I335+L335+O335+R335</f>
        <v>16</v>
      </c>
      <c r="X335" s="13"/>
    </row>
    <row r="336" spans="1:24" s="13" customFormat="1" ht="30" customHeight="1" thickBot="1" x14ac:dyDescent="0.3">
      <c r="A336" s="36" t="s">
        <v>149</v>
      </c>
      <c r="B336" s="357" t="s">
        <v>99</v>
      </c>
      <c r="C336" s="358"/>
      <c r="D336" s="358"/>
      <c r="E336" s="358"/>
      <c r="F336" s="359"/>
      <c r="G336" s="40">
        <f t="shared" ref="G336:H336" si="140">SUM(G332:G335)</f>
        <v>290</v>
      </c>
      <c r="H336" s="64">
        <f t="shared" si="140"/>
        <v>138</v>
      </c>
      <c r="I336" s="81">
        <f t="shared" ref="I336:W336" si="141">SUM(I332:I335)</f>
        <v>12</v>
      </c>
      <c r="J336" s="27">
        <v>262</v>
      </c>
      <c r="K336" s="81">
        <v>135</v>
      </c>
      <c r="L336" s="96">
        <f t="shared" si="141"/>
        <v>11</v>
      </c>
      <c r="M336" s="26">
        <f t="shared" si="141"/>
        <v>276</v>
      </c>
      <c r="N336" s="64">
        <f t="shared" si="141"/>
        <v>133</v>
      </c>
      <c r="O336" s="81">
        <f t="shared" si="141"/>
        <v>12</v>
      </c>
      <c r="P336" s="26">
        <f t="shared" si="141"/>
        <v>285</v>
      </c>
      <c r="Q336" s="64">
        <f t="shared" si="141"/>
        <v>134</v>
      </c>
      <c r="R336" s="81">
        <f t="shared" si="141"/>
        <v>12</v>
      </c>
      <c r="S336" s="42">
        <f t="shared" si="136"/>
        <v>1113</v>
      </c>
      <c r="T336" s="95">
        <f t="shared" si="137"/>
        <v>540</v>
      </c>
      <c r="U336" s="25">
        <f t="shared" si="141"/>
        <v>132</v>
      </c>
      <c r="V336" s="84">
        <f t="shared" si="141"/>
        <v>60</v>
      </c>
      <c r="W336" s="85">
        <f t="shared" si="141"/>
        <v>47</v>
      </c>
    </row>
    <row r="337" spans="1:24" s="108" customFormat="1" ht="49.2" x14ac:dyDescent="0.25">
      <c r="A337" s="290" t="s">
        <v>149</v>
      </c>
      <c r="B337" s="47">
        <v>91</v>
      </c>
      <c r="C337" s="292" t="s">
        <v>81</v>
      </c>
      <c r="D337" s="113" t="s">
        <v>286</v>
      </c>
      <c r="E337" s="293" t="s">
        <v>147</v>
      </c>
      <c r="F337" s="145" t="s">
        <v>107</v>
      </c>
      <c r="G337" s="294"/>
      <c r="H337" s="44"/>
      <c r="I337" s="295"/>
      <c r="J337" s="295"/>
      <c r="K337" s="295"/>
      <c r="L337" s="296"/>
      <c r="M337" s="8">
        <v>36</v>
      </c>
      <c r="N337" s="9">
        <v>14</v>
      </c>
      <c r="O337" s="10">
        <v>2</v>
      </c>
      <c r="P337" s="8">
        <v>43</v>
      </c>
      <c r="Q337" s="9">
        <v>23</v>
      </c>
      <c r="R337" s="10">
        <v>2</v>
      </c>
      <c r="S337" s="91">
        <f t="shared" si="136"/>
        <v>79</v>
      </c>
      <c r="T337" s="17">
        <f t="shared" si="137"/>
        <v>37</v>
      </c>
      <c r="U337" s="12">
        <v>40</v>
      </c>
      <c r="V337" s="16">
        <v>23</v>
      </c>
      <c r="W337" s="93">
        <f>I337+L337+O337+R337</f>
        <v>4</v>
      </c>
    </row>
    <row r="338" spans="1:24" s="24" customFormat="1" ht="30" customHeight="1" x14ac:dyDescent="0.25">
      <c r="A338" s="155" t="s">
        <v>149</v>
      </c>
      <c r="B338" s="164">
        <v>95</v>
      </c>
      <c r="C338" s="52" t="s">
        <v>62</v>
      </c>
      <c r="D338" s="285" t="s">
        <v>277</v>
      </c>
      <c r="E338" s="52" t="s">
        <v>22</v>
      </c>
      <c r="F338" s="153" t="s">
        <v>105</v>
      </c>
      <c r="G338" s="151">
        <v>37</v>
      </c>
      <c r="H338" s="153">
        <v>16</v>
      </c>
      <c r="I338" s="147">
        <v>2</v>
      </c>
      <c r="J338" s="286">
        <v>36</v>
      </c>
      <c r="K338" s="147">
        <v>17</v>
      </c>
      <c r="L338" s="147">
        <v>2</v>
      </c>
      <c r="M338" s="151">
        <v>37</v>
      </c>
      <c r="N338" s="153">
        <v>21</v>
      </c>
      <c r="O338" s="147">
        <v>2</v>
      </c>
      <c r="P338" s="151">
        <v>39</v>
      </c>
      <c r="Q338" s="153">
        <v>24</v>
      </c>
      <c r="R338" s="147">
        <v>2</v>
      </c>
      <c r="S338" s="98">
        <f t="shared" si="136"/>
        <v>149</v>
      </c>
      <c r="T338" s="78">
        <f t="shared" si="137"/>
        <v>78</v>
      </c>
      <c r="U338" s="101">
        <v>6</v>
      </c>
      <c r="V338" s="53">
        <v>4</v>
      </c>
      <c r="W338" s="80">
        <f>I338+L338+O338+R338</f>
        <v>8</v>
      </c>
      <c r="X338" s="13"/>
    </row>
    <row r="339" spans="1:24" s="24" customFormat="1" ht="30" customHeight="1" x14ac:dyDescent="0.25">
      <c r="A339" s="55" t="s">
        <v>149</v>
      </c>
      <c r="B339" s="39">
        <v>96</v>
      </c>
      <c r="C339" s="11" t="s">
        <v>51</v>
      </c>
      <c r="D339" s="113" t="s">
        <v>270</v>
      </c>
      <c r="E339" s="11" t="s">
        <v>13</v>
      </c>
      <c r="F339" s="145" t="s">
        <v>105</v>
      </c>
      <c r="G339" s="146">
        <v>22</v>
      </c>
      <c r="H339" s="145">
        <v>10</v>
      </c>
      <c r="I339" s="155">
        <v>1</v>
      </c>
      <c r="J339" s="154">
        <v>31</v>
      </c>
      <c r="K339" s="155">
        <v>16</v>
      </c>
      <c r="L339" s="155">
        <v>1</v>
      </c>
      <c r="M339" s="146">
        <v>46</v>
      </c>
      <c r="N339" s="145">
        <v>25</v>
      </c>
      <c r="O339" s="155">
        <v>2</v>
      </c>
      <c r="P339" s="146">
        <v>38</v>
      </c>
      <c r="Q339" s="145">
        <v>16</v>
      </c>
      <c r="R339" s="155">
        <v>2</v>
      </c>
      <c r="S339" s="98">
        <f t="shared" si="136"/>
        <v>137</v>
      </c>
      <c r="T339" s="78">
        <f t="shared" si="137"/>
        <v>67</v>
      </c>
      <c r="U339" s="79">
        <v>13</v>
      </c>
      <c r="V339" s="22">
        <v>5</v>
      </c>
      <c r="W339" s="80">
        <f>I339+L339+O339+R339</f>
        <v>6</v>
      </c>
      <c r="X339" s="13"/>
    </row>
    <row r="340" spans="1:24" s="38" customFormat="1" ht="30" customHeight="1" x14ac:dyDescent="0.25">
      <c r="A340" s="10" t="s">
        <v>149</v>
      </c>
      <c r="B340" s="47">
        <v>96</v>
      </c>
      <c r="C340" s="48" t="s">
        <v>51</v>
      </c>
      <c r="D340" s="113" t="s">
        <v>287</v>
      </c>
      <c r="E340" s="11" t="s">
        <v>42</v>
      </c>
      <c r="F340" s="153" t="s">
        <v>107</v>
      </c>
      <c r="G340" s="102">
        <v>55</v>
      </c>
      <c r="H340" s="103">
        <v>27</v>
      </c>
      <c r="I340" s="104">
        <v>2</v>
      </c>
      <c r="J340" s="287">
        <v>50</v>
      </c>
      <c r="K340" s="104">
        <v>33</v>
      </c>
      <c r="L340" s="104">
        <v>2</v>
      </c>
      <c r="M340" s="102">
        <v>44</v>
      </c>
      <c r="N340" s="103">
        <v>20</v>
      </c>
      <c r="O340" s="104">
        <v>2</v>
      </c>
      <c r="P340" s="102">
        <v>50</v>
      </c>
      <c r="Q340" s="103">
        <v>26</v>
      </c>
      <c r="R340" s="104">
        <v>2</v>
      </c>
      <c r="S340" s="91">
        <f t="shared" si="136"/>
        <v>199</v>
      </c>
      <c r="T340" s="17">
        <f t="shared" si="137"/>
        <v>106</v>
      </c>
      <c r="U340" s="105">
        <v>8</v>
      </c>
      <c r="V340" s="56">
        <v>3</v>
      </c>
      <c r="W340" s="93">
        <f>I340+L340+O340+R340</f>
        <v>8</v>
      </c>
      <c r="X340" s="108"/>
    </row>
    <row r="341" spans="1:24" s="24" customFormat="1" ht="30" customHeight="1" x14ac:dyDescent="0.25">
      <c r="A341" s="55" t="s">
        <v>149</v>
      </c>
      <c r="B341" s="39">
        <v>97</v>
      </c>
      <c r="C341" s="11" t="s">
        <v>61</v>
      </c>
      <c r="D341" s="113" t="s">
        <v>288</v>
      </c>
      <c r="E341" s="11" t="s">
        <v>138</v>
      </c>
      <c r="F341" s="145" t="s">
        <v>105</v>
      </c>
      <c r="G341" s="146">
        <v>78</v>
      </c>
      <c r="H341" s="145">
        <v>41</v>
      </c>
      <c r="I341" s="155">
        <v>3</v>
      </c>
      <c r="J341" s="154">
        <v>113</v>
      </c>
      <c r="K341" s="155">
        <v>50</v>
      </c>
      <c r="L341" s="155">
        <v>4</v>
      </c>
      <c r="M341" s="146">
        <v>102</v>
      </c>
      <c r="N341" s="145">
        <v>57</v>
      </c>
      <c r="O341" s="155">
        <v>4</v>
      </c>
      <c r="P341" s="146">
        <v>108</v>
      </c>
      <c r="Q341" s="145">
        <v>47</v>
      </c>
      <c r="R341" s="155">
        <v>4</v>
      </c>
      <c r="S341" s="98">
        <f t="shared" si="136"/>
        <v>401</v>
      </c>
      <c r="T341" s="78">
        <f t="shared" si="137"/>
        <v>195</v>
      </c>
      <c r="U341" s="79">
        <v>9</v>
      </c>
      <c r="V341" s="22">
        <v>3</v>
      </c>
      <c r="W341" s="80">
        <f>I341+L341+O341+R341</f>
        <v>15</v>
      </c>
      <c r="X341" s="13"/>
    </row>
    <row r="342" spans="1:24" s="24" customFormat="1" ht="30" customHeight="1" x14ac:dyDescent="0.25">
      <c r="A342" s="155" t="s">
        <v>149</v>
      </c>
      <c r="B342" s="39">
        <v>98</v>
      </c>
      <c r="C342" s="11" t="s">
        <v>52</v>
      </c>
      <c r="D342" s="113" t="s">
        <v>289</v>
      </c>
      <c r="E342" s="11" t="s">
        <v>14</v>
      </c>
      <c r="F342" s="145" t="s">
        <v>105</v>
      </c>
      <c r="G342" s="146">
        <v>59</v>
      </c>
      <c r="H342" s="145">
        <v>25</v>
      </c>
      <c r="I342" s="155">
        <v>3</v>
      </c>
      <c r="J342" s="154">
        <v>64</v>
      </c>
      <c r="K342" s="155">
        <v>26</v>
      </c>
      <c r="L342" s="155">
        <v>3</v>
      </c>
      <c r="M342" s="146">
        <v>68</v>
      </c>
      <c r="N342" s="152">
        <v>33</v>
      </c>
      <c r="O342" s="149">
        <v>3</v>
      </c>
      <c r="P342" s="146">
        <v>55</v>
      </c>
      <c r="Q342" s="145">
        <v>29</v>
      </c>
      <c r="R342" s="155">
        <v>2</v>
      </c>
      <c r="S342" s="98">
        <f t="shared" si="136"/>
        <v>246</v>
      </c>
      <c r="T342" s="78">
        <f t="shared" si="137"/>
        <v>113</v>
      </c>
      <c r="U342" s="79">
        <v>5</v>
      </c>
      <c r="V342" s="22">
        <v>3</v>
      </c>
      <c r="W342" s="80">
        <f>I342+L342+O342+R342</f>
        <v>11</v>
      </c>
      <c r="X342" s="13"/>
    </row>
    <row r="343" spans="1:24" s="24" customFormat="1" ht="30" customHeight="1" x14ac:dyDescent="0.25">
      <c r="A343" s="156" t="s">
        <v>149</v>
      </c>
      <c r="B343" s="39">
        <v>98</v>
      </c>
      <c r="C343" s="57" t="s">
        <v>52</v>
      </c>
      <c r="D343" s="288" t="s">
        <v>290</v>
      </c>
      <c r="E343" s="11" t="s">
        <v>16</v>
      </c>
      <c r="F343" s="145" t="s">
        <v>105</v>
      </c>
      <c r="G343" s="146">
        <v>24</v>
      </c>
      <c r="H343" s="145">
        <v>9</v>
      </c>
      <c r="I343" s="155">
        <v>1</v>
      </c>
      <c r="J343" s="154">
        <v>25</v>
      </c>
      <c r="K343" s="155">
        <v>10</v>
      </c>
      <c r="L343" s="155">
        <v>1</v>
      </c>
      <c r="M343" s="146">
        <v>21</v>
      </c>
      <c r="N343" s="145">
        <v>12</v>
      </c>
      <c r="O343" s="155">
        <v>1</v>
      </c>
      <c r="P343" s="146">
        <v>22</v>
      </c>
      <c r="Q343" s="145">
        <v>9</v>
      </c>
      <c r="R343" s="155">
        <v>1</v>
      </c>
      <c r="S343" s="98">
        <f t="shared" si="136"/>
        <v>92</v>
      </c>
      <c r="T343" s="78">
        <f t="shared" si="137"/>
        <v>40</v>
      </c>
      <c r="U343" s="79">
        <v>1</v>
      </c>
      <c r="V343" s="22">
        <v>0</v>
      </c>
      <c r="W343" s="80">
        <f>I343+L343+O343+R343</f>
        <v>4</v>
      </c>
      <c r="X343" s="13"/>
    </row>
    <row r="344" spans="1:24" s="24" customFormat="1" ht="30" customHeight="1" thickBot="1" x14ac:dyDescent="0.3">
      <c r="A344" s="149" t="s">
        <v>149</v>
      </c>
      <c r="B344" s="351" t="s">
        <v>100</v>
      </c>
      <c r="C344" s="352"/>
      <c r="D344" s="352"/>
      <c r="E344" s="352"/>
      <c r="F344" s="353"/>
      <c r="G344" s="40">
        <f t="shared" ref="G344:H344" si="142">SUM(G337:G343)</f>
        <v>275</v>
      </c>
      <c r="H344" s="64">
        <f t="shared" si="142"/>
        <v>128</v>
      </c>
      <c r="I344" s="81">
        <f t="shared" ref="I344:W344" si="143">SUM(I337:I343)</f>
        <v>12</v>
      </c>
      <c r="J344" s="27">
        <v>319</v>
      </c>
      <c r="K344" s="81">
        <v>152</v>
      </c>
      <c r="L344" s="96">
        <f t="shared" si="143"/>
        <v>13</v>
      </c>
      <c r="M344" s="26">
        <f t="shared" si="143"/>
        <v>354</v>
      </c>
      <c r="N344" s="64">
        <f t="shared" si="143"/>
        <v>182</v>
      </c>
      <c r="O344" s="81">
        <f t="shared" si="143"/>
        <v>16</v>
      </c>
      <c r="P344" s="26">
        <f t="shared" si="143"/>
        <v>355</v>
      </c>
      <c r="Q344" s="64">
        <f t="shared" si="143"/>
        <v>174</v>
      </c>
      <c r="R344" s="81">
        <f t="shared" si="143"/>
        <v>15</v>
      </c>
      <c r="S344" s="42">
        <f t="shared" si="136"/>
        <v>1303</v>
      </c>
      <c r="T344" s="95">
        <f t="shared" si="137"/>
        <v>636</v>
      </c>
      <c r="U344" s="25">
        <f t="shared" si="143"/>
        <v>82</v>
      </c>
      <c r="V344" s="84">
        <f t="shared" si="143"/>
        <v>41</v>
      </c>
      <c r="W344" s="85">
        <f t="shared" si="143"/>
        <v>56</v>
      </c>
      <c r="X344" s="13"/>
    </row>
    <row r="345" spans="1:24" s="28" customFormat="1" ht="30.75" customHeight="1" thickBot="1" x14ac:dyDescent="0.3">
      <c r="A345" s="58" t="s">
        <v>149</v>
      </c>
      <c r="B345" s="348" t="s">
        <v>102</v>
      </c>
      <c r="C345" s="349"/>
      <c r="D345" s="349"/>
      <c r="E345" s="349"/>
      <c r="F345" s="350"/>
      <c r="G345" s="40">
        <f t="shared" ref="G345:H345" si="144">G309+G318+G325+G331+G336+G344</f>
        <v>2355</v>
      </c>
      <c r="H345" s="40">
        <f t="shared" si="144"/>
        <v>1129</v>
      </c>
      <c r="I345" s="106">
        <f t="shared" ref="I345:W345" si="145">I309+I318+I325+I331+I336+I344</f>
        <v>101.25</v>
      </c>
      <c r="J345" s="40">
        <v>2491</v>
      </c>
      <c r="K345" s="40">
        <v>1189</v>
      </c>
      <c r="L345" s="107">
        <f t="shared" si="145"/>
        <v>103.25</v>
      </c>
      <c r="M345" s="40">
        <f t="shared" si="145"/>
        <v>2308</v>
      </c>
      <c r="N345" s="40">
        <f t="shared" si="145"/>
        <v>1141</v>
      </c>
      <c r="O345" s="107">
        <f t="shared" si="145"/>
        <v>105.25</v>
      </c>
      <c r="P345" s="40">
        <f t="shared" si="145"/>
        <v>2393</v>
      </c>
      <c r="Q345" s="40">
        <f t="shared" si="145"/>
        <v>1172</v>
      </c>
      <c r="R345" s="107">
        <f t="shared" si="145"/>
        <v>101.25</v>
      </c>
      <c r="S345" s="42">
        <f t="shared" si="136"/>
        <v>9547</v>
      </c>
      <c r="T345" s="40">
        <f t="shared" si="137"/>
        <v>4631</v>
      </c>
      <c r="U345" s="40">
        <f t="shared" si="145"/>
        <v>886</v>
      </c>
      <c r="V345" s="42">
        <f t="shared" si="145"/>
        <v>429</v>
      </c>
      <c r="W345" s="41">
        <f t="shared" si="145"/>
        <v>411</v>
      </c>
      <c r="X345" s="125"/>
    </row>
    <row r="346" spans="1:24" ht="35.4" x14ac:dyDescent="0.25">
      <c r="A346" s="158" t="s">
        <v>153</v>
      </c>
      <c r="B346" s="162">
        <v>11</v>
      </c>
      <c r="C346" s="15" t="s">
        <v>48</v>
      </c>
      <c r="D346" s="278" t="s">
        <v>159</v>
      </c>
      <c r="E346" s="15" t="s">
        <v>154</v>
      </c>
      <c r="F346" s="158" t="s">
        <v>105</v>
      </c>
      <c r="G346" s="71">
        <f>27+9</f>
        <v>36</v>
      </c>
      <c r="H346" s="72">
        <f>9+5</f>
        <v>14</v>
      </c>
      <c r="I346" s="158">
        <v>1.25</v>
      </c>
      <c r="J346" s="279">
        <v>32</v>
      </c>
      <c r="K346" s="158">
        <v>19</v>
      </c>
      <c r="L346" s="158">
        <v>1.25</v>
      </c>
      <c r="M346" s="71">
        <f>22+7</f>
        <v>29</v>
      </c>
      <c r="N346" s="72">
        <f>13+3</f>
        <v>16</v>
      </c>
      <c r="O346" s="158">
        <v>1.25</v>
      </c>
      <c r="P346" s="71">
        <f>27+5</f>
        <v>32</v>
      </c>
      <c r="Q346" s="72">
        <f>15+3</f>
        <v>18</v>
      </c>
      <c r="R346" s="158">
        <v>1.25</v>
      </c>
      <c r="S346" s="73">
        <f t="shared" si="136"/>
        <v>129</v>
      </c>
      <c r="T346" s="74">
        <f t="shared" si="137"/>
        <v>67</v>
      </c>
      <c r="U346" s="75">
        <v>4</v>
      </c>
      <c r="V346" s="18">
        <v>3</v>
      </c>
      <c r="W346" s="76">
        <f>I346+L346+O346+R346</f>
        <v>5</v>
      </c>
    </row>
    <row r="347" spans="1:24" ht="30" customHeight="1" x14ac:dyDescent="0.25">
      <c r="A347" s="155" t="s">
        <v>153</v>
      </c>
      <c r="B347" s="20">
        <v>15</v>
      </c>
      <c r="C347" s="21" t="s">
        <v>64</v>
      </c>
      <c r="D347" s="280" t="s">
        <v>160</v>
      </c>
      <c r="E347" s="21" t="s">
        <v>24</v>
      </c>
      <c r="F347" s="155" t="s">
        <v>105</v>
      </c>
      <c r="G347" s="146">
        <v>49</v>
      </c>
      <c r="H347" s="145">
        <v>22</v>
      </c>
      <c r="I347" s="155">
        <v>2</v>
      </c>
      <c r="J347" s="154">
        <v>49</v>
      </c>
      <c r="K347" s="155">
        <v>30</v>
      </c>
      <c r="L347" s="155">
        <v>2</v>
      </c>
      <c r="M347" s="146">
        <v>43</v>
      </c>
      <c r="N347" s="145">
        <v>22</v>
      </c>
      <c r="O347" s="155">
        <v>2</v>
      </c>
      <c r="P347" s="146">
        <v>36</v>
      </c>
      <c r="Q347" s="145">
        <v>16</v>
      </c>
      <c r="R347" s="155">
        <v>2</v>
      </c>
      <c r="S347" s="77">
        <f t="shared" si="136"/>
        <v>177</v>
      </c>
      <c r="T347" s="78">
        <f t="shared" si="137"/>
        <v>90</v>
      </c>
      <c r="U347" s="79">
        <v>33</v>
      </c>
      <c r="V347" s="23">
        <v>13</v>
      </c>
      <c r="W347" s="80">
        <f>I347+L347+O347+R347</f>
        <v>8</v>
      </c>
    </row>
    <row r="348" spans="1:24" ht="30" customHeight="1" thickBot="1" x14ac:dyDescent="0.3">
      <c r="A348" s="36" t="s">
        <v>153</v>
      </c>
      <c r="B348" s="351" t="s">
        <v>92</v>
      </c>
      <c r="C348" s="352"/>
      <c r="D348" s="352"/>
      <c r="E348" s="352"/>
      <c r="F348" s="353"/>
      <c r="G348" s="26">
        <f t="shared" ref="G348:H348" si="146">SUM(G346:G347)</f>
        <v>85</v>
      </c>
      <c r="H348" s="64">
        <f t="shared" si="146"/>
        <v>36</v>
      </c>
      <c r="I348" s="81">
        <f t="shared" ref="I348:W348" si="147">SUM(I346:I347)</f>
        <v>3.25</v>
      </c>
      <c r="J348" s="27">
        <v>81</v>
      </c>
      <c r="K348" s="81">
        <v>49</v>
      </c>
      <c r="L348" s="81">
        <f t="shared" si="147"/>
        <v>3.25</v>
      </c>
      <c r="M348" s="26">
        <f t="shared" si="147"/>
        <v>72</v>
      </c>
      <c r="N348" s="64">
        <f t="shared" si="147"/>
        <v>38</v>
      </c>
      <c r="O348" s="81">
        <f t="shared" si="147"/>
        <v>3.25</v>
      </c>
      <c r="P348" s="26">
        <f t="shared" si="147"/>
        <v>68</v>
      </c>
      <c r="Q348" s="64">
        <f t="shared" si="147"/>
        <v>34</v>
      </c>
      <c r="R348" s="81">
        <f t="shared" si="147"/>
        <v>3.25</v>
      </c>
      <c r="S348" s="82">
        <f t="shared" si="136"/>
        <v>306</v>
      </c>
      <c r="T348" s="83">
        <f t="shared" si="137"/>
        <v>157</v>
      </c>
      <c r="U348" s="25">
        <f t="shared" si="147"/>
        <v>37</v>
      </c>
      <c r="V348" s="84">
        <f t="shared" si="147"/>
        <v>16</v>
      </c>
      <c r="W348" s="85">
        <f t="shared" si="147"/>
        <v>13</v>
      </c>
    </row>
    <row r="349" spans="1:24" ht="30" customHeight="1" x14ac:dyDescent="0.25">
      <c r="A349" s="29" t="s">
        <v>153</v>
      </c>
      <c r="B349" s="30">
        <v>22</v>
      </c>
      <c r="C349" s="31" t="s">
        <v>75</v>
      </c>
      <c r="D349" s="281" t="s">
        <v>166</v>
      </c>
      <c r="E349" s="31" t="s">
        <v>32</v>
      </c>
      <c r="F349" s="29" t="s">
        <v>106</v>
      </c>
      <c r="G349" s="86">
        <v>45</v>
      </c>
      <c r="H349" s="87">
        <v>28</v>
      </c>
      <c r="I349" s="29">
        <v>2</v>
      </c>
      <c r="J349" s="88">
        <v>53</v>
      </c>
      <c r="K349" s="29">
        <v>26</v>
      </c>
      <c r="L349" s="29">
        <v>2</v>
      </c>
      <c r="M349" s="86">
        <v>38</v>
      </c>
      <c r="N349" s="87">
        <v>13</v>
      </c>
      <c r="O349" s="29">
        <v>2</v>
      </c>
      <c r="P349" s="86">
        <v>30</v>
      </c>
      <c r="Q349" s="87">
        <v>10</v>
      </c>
      <c r="R349" s="29">
        <v>2</v>
      </c>
      <c r="S349" s="88">
        <f t="shared" si="136"/>
        <v>166</v>
      </c>
      <c r="T349" s="87">
        <f t="shared" si="137"/>
        <v>77</v>
      </c>
      <c r="U349" s="89">
        <v>14</v>
      </c>
      <c r="V349" s="32">
        <v>9</v>
      </c>
      <c r="W349" s="90">
        <f>I349+L349+O349+R349</f>
        <v>8</v>
      </c>
    </row>
    <row r="350" spans="1:24" ht="30" customHeight="1" x14ac:dyDescent="0.25">
      <c r="A350" s="155" t="s">
        <v>153</v>
      </c>
      <c r="B350" s="20">
        <v>24</v>
      </c>
      <c r="C350" s="21" t="s">
        <v>70</v>
      </c>
      <c r="D350" s="280" t="s">
        <v>165</v>
      </c>
      <c r="E350" s="21" t="s">
        <v>156</v>
      </c>
      <c r="F350" s="155" t="s">
        <v>105</v>
      </c>
      <c r="G350" s="146">
        <f>8+3+10+3+8+1</f>
        <v>33</v>
      </c>
      <c r="H350" s="145">
        <f>5+2+6+3</f>
        <v>16</v>
      </c>
      <c r="I350" s="155">
        <v>1.5</v>
      </c>
      <c r="J350" s="154">
        <v>34</v>
      </c>
      <c r="K350" s="155">
        <v>15</v>
      </c>
      <c r="L350" s="155">
        <v>1.5</v>
      </c>
      <c r="M350" s="146">
        <f>7+3+10+3+9+4</f>
        <v>36</v>
      </c>
      <c r="N350" s="145">
        <f>3+2+3+2+6+2</f>
        <v>18</v>
      </c>
      <c r="O350" s="155">
        <v>1.5</v>
      </c>
      <c r="P350" s="146">
        <f>9+4+7+4+6+4</f>
        <v>34</v>
      </c>
      <c r="Q350" s="145">
        <f>4+2+3+3+3+1</f>
        <v>16</v>
      </c>
      <c r="R350" s="155">
        <v>1.5</v>
      </c>
      <c r="S350" s="77">
        <f t="shared" si="136"/>
        <v>137</v>
      </c>
      <c r="T350" s="78">
        <f t="shared" si="137"/>
        <v>65</v>
      </c>
      <c r="U350" s="79">
        <v>41</v>
      </c>
      <c r="V350" s="23">
        <v>17</v>
      </c>
      <c r="W350" s="80">
        <f>I350+L350+O350+R350</f>
        <v>6</v>
      </c>
    </row>
    <row r="351" spans="1:24" ht="30" customHeight="1" x14ac:dyDescent="0.25">
      <c r="A351" s="10" t="s">
        <v>153</v>
      </c>
      <c r="B351" s="33">
        <v>25</v>
      </c>
      <c r="C351" s="34" t="s">
        <v>74</v>
      </c>
      <c r="D351" s="280" t="s">
        <v>167</v>
      </c>
      <c r="E351" s="21" t="s">
        <v>130</v>
      </c>
      <c r="F351" s="10" t="s">
        <v>106</v>
      </c>
      <c r="G351" s="91">
        <v>55</v>
      </c>
      <c r="H351" s="17">
        <v>34</v>
      </c>
      <c r="I351" s="10">
        <v>2</v>
      </c>
      <c r="J351" s="92">
        <v>58</v>
      </c>
      <c r="K351" s="10">
        <v>29</v>
      </c>
      <c r="L351" s="10">
        <v>2</v>
      </c>
      <c r="M351" s="91">
        <v>56</v>
      </c>
      <c r="N351" s="17">
        <v>24</v>
      </c>
      <c r="O351" s="10">
        <v>2</v>
      </c>
      <c r="P351" s="91">
        <v>46</v>
      </c>
      <c r="Q351" s="17">
        <v>25</v>
      </c>
      <c r="R351" s="10">
        <v>2</v>
      </c>
      <c r="S351" s="92">
        <f t="shared" si="136"/>
        <v>215</v>
      </c>
      <c r="T351" s="17">
        <f t="shared" si="137"/>
        <v>112</v>
      </c>
      <c r="U351" s="12">
        <v>3</v>
      </c>
      <c r="V351" s="35">
        <v>2</v>
      </c>
      <c r="W351" s="93">
        <f>I351+L351+O351+R351</f>
        <v>8</v>
      </c>
    </row>
    <row r="352" spans="1:24" ht="30" customHeight="1" x14ac:dyDescent="0.25">
      <c r="A352" s="155" t="s">
        <v>153</v>
      </c>
      <c r="B352" s="20">
        <v>27</v>
      </c>
      <c r="C352" s="21" t="s">
        <v>60</v>
      </c>
      <c r="D352" s="280" t="s">
        <v>168</v>
      </c>
      <c r="E352" s="21" t="s">
        <v>21</v>
      </c>
      <c r="F352" s="155" t="s">
        <v>105</v>
      </c>
      <c r="G352" s="146">
        <v>57</v>
      </c>
      <c r="H352" s="145">
        <v>26</v>
      </c>
      <c r="I352" s="155">
        <v>2</v>
      </c>
      <c r="J352" s="154">
        <v>57</v>
      </c>
      <c r="K352" s="155">
        <v>24</v>
      </c>
      <c r="L352" s="155">
        <v>2</v>
      </c>
      <c r="M352" s="146">
        <v>54</v>
      </c>
      <c r="N352" s="145">
        <v>28</v>
      </c>
      <c r="O352" s="155">
        <v>2</v>
      </c>
      <c r="P352" s="146">
        <v>48</v>
      </c>
      <c r="Q352" s="145">
        <v>27</v>
      </c>
      <c r="R352" s="155">
        <v>2</v>
      </c>
      <c r="S352" s="77">
        <f t="shared" si="136"/>
        <v>216</v>
      </c>
      <c r="T352" s="78">
        <f t="shared" si="137"/>
        <v>105</v>
      </c>
      <c r="U352" s="79">
        <v>6</v>
      </c>
      <c r="V352" s="23">
        <v>2</v>
      </c>
      <c r="W352" s="80">
        <f>I352+L352+O352+R352</f>
        <v>8</v>
      </c>
    </row>
    <row r="353" spans="1:23" ht="30" customHeight="1" x14ac:dyDescent="0.25">
      <c r="A353" s="10" t="s">
        <v>153</v>
      </c>
      <c r="B353" s="33">
        <v>27</v>
      </c>
      <c r="C353" s="34" t="s">
        <v>60</v>
      </c>
      <c r="D353" s="280" t="s">
        <v>169</v>
      </c>
      <c r="E353" s="34" t="s">
        <v>33</v>
      </c>
      <c r="F353" s="10" t="s">
        <v>106</v>
      </c>
      <c r="G353" s="91">
        <v>52</v>
      </c>
      <c r="H353" s="17">
        <v>32</v>
      </c>
      <c r="I353" s="10">
        <v>2</v>
      </c>
      <c r="J353" s="92">
        <v>52</v>
      </c>
      <c r="K353" s="10">
        <v>25</v>
      </c>
      <c r="L353" s="10">
        <v>2</v>
      </c>
      <c r="M353" s="91">
        <v>46</v>
      </c>
      <c r="N353" s="17">
        <v>13</v>
      </c>
      <c r="O353" s="10">
        <v>2</v>
      </c>
      <c r="P353" s="91">
        <v>48</v>
      </c>
      <c r="Q353" s="17">
        <v>20</v>
      </c>
      <c r="R353" s="10">
        <v>2</v>
      </c>
      <c r="S353" s="92">
        <f t="shared" si="136"/>
        <v>198</v>
      </c>
      <c r="T353" s="17">
        <f t="shared" si="137"/>
        <v>90</v>
      </c>
      <c r="U353" s="12">
        <v>13</v>
      </c>
      <c r="V353" s="35">
        <v>5</v>
      </c>
      <c r="W353" s="93">
        <f>I353+L353+O353+R353</f>
        <v>8</v>
      </c>
    </row>
    <row r="354" spans="1:23" ht="30" customHeight="1" thickBot="1" x14ac:dyDescent="0.3">
      <c r="A354" s="36" t="s">
        <v>153</v>
      </c>
      <c r="B354" s="351" t="s">
        <v>101</v>
      </c>
      <c r="C354" s="352"/>
      <c r="D354" s="352"/>
      <c r="E354" s="352"/>
      <c r="F354" s="353"/>
      <c r="G354" s="26">
        <f t="shared" ref="G354:H354" si="148">SUM(G349:G353)</f>
        <v>242</v>
      </c>
      <c r="H354" s="64">
        <f t="shared" si="148"/>
        <v>136</v>
      </c>
      <c r="I354" s="81">
        <f t="shared" ref="I354:W354" si="149">SUM(I349:I353)</f>
        <v>9.5</v>
      </c>
      <c r="J354" s="27">
        <v>254</v>
      </c>
      <c r="K354" s="81">
        <v>119</v>
      </c>
      <c r="L354" s="81">
        <f t="shared" si="149"/>
        <v>9.5</v>
      </c>
      <c r="M354" s="26">
        <f t="shared" si="149"/>
        <v>230</v>
      </c>
      <c r="N354" s="64">
        <f t="shared" si="149"/>
        <v>96</v>
      </c>
      <c r="O354" s="81">
        <f t="shared" si="149"/>
        <v>9.5</v>
      </c>
      <c r="P354" s="26">
        <f t="shared" si="149"/>
        <v>206</v>
      </c>
      <c r="Q354" s="64">
        <f t="shared" si="149"/>
        <v>98</v>
      </c>
      <c r="R354" s="81">
        <f t="shared" si="149"/>
        <v>9.5</v>
      </c>
      <c r="S354" s="82">
        <f t="shared" si="136"/>
        <v>932</v>
      </c>
      <c r="T354" s="83">
        <f t="shared" si="137"/>
        <v>449</v>
      </c>
      <c r="U354" s="25">
        <f t="shared" si="149"/>
        <v>77</v>
      </c>
      <c r="V354" s="84">
        <f t="shared" si="149"/>
        <v>35</v>
      </c>
      <c r="W354" s="85">
        <f t="shared" si="149"/>
        <v>38</v>
      </c>
    </row>
    <row r="355" spans="1:23" ht="30" customHeight="1" x14ac:dyDescent="0.25">
      <c r="A355" s="10" t="s">
        <v>153</v>
      </c>
      <c r="B355" s="33">
        <v>31</v>
      </c>
      <c r="C355" s="34" t="s">
        <v>79</v>
      </c>
      <c r="D355" s="280" t="s">
        <v>163</v>
      </c>
      <c r="E355" s="21" t="s">
        <v>36</v>
      </c>
      <c r="F355" s="155" t="s">
        <v>107</v>
      </c>
      <c r="G355" s="8">
        <v>42</v>
      </c>
      <c r="H355" s="9">
        <v>23</v>
      </c>
      <c r="I355" s="10">
        <v>2</v>
      </c>
      <c r="J355" s="92">
        <v>38</v>
      </c>
      <c r="K355" s="10">
        <v>19</v>
      </c>
      <c r="L355" s="10">
        <v>2</v>
      </c>
      <c r="M355" s="8">
        <v>36</v>
      </c>
      <c r="N355" s="9">
        <v>19</v>
      </c>
      <c r="O355" s="10">
        <v>2</v>
      </c>
      <c r="P355" s="8">
        <v>43</v>
      </c>
      <c r="Q355" s="9">
        <v>22</v>
      </c>
      <c r="R355" s="10">
        <v>2</v>
      </c>
      <c r="S355" s="92">
        <f t="shared" si="136"/>
        <v>159</v>
      </c>
      <c r="T355" s="17">
        <f t="shared" si="137"/>
        <v>83</v>
      </c>
      <c r="U355" s="12">
        <v>9</v>
      </c>
      <c r="V355" s="35">
        <v>5</v>
      </c>
      <c r="W355" s="93">
        <f>I355+L355+O355+R355</f>
        <v>8</v>
      </c>
    </row>
    <row r="356" spans="1:23" ht="30" customHeight="1" x14ac:dyDescent="0.25">
      <c r="A356" s="10" t="s">
        <v>153</v>
      </c>
      <c r="B356" s="33">
        <v>32</v>
      </c>
      <c r="C356" s="34" t="s">
        <v>85</v>
      </c>
      <c r="D356" s="280" t="s">
        <v>164</v>
      </c>
      <c r="E356" s="21" t="s">
        <v>137</v>
      </c>
      <c r="F356" s="155" t="s">
        <v>107</v>
      </c>
      <c r="G356" s="8">
        <v>47</v>
      </c>
      <c r="H356" s="9">
        <v>21</v>
      </c>
      <c r="I356" s="10">
        <v>2</v>
      </c>
      <c r="J356" s="92">
        <v>71</v>
      </c>
      <c r="K356" s="10">
        <v>31</v>
      </c>
      <c r="L356" s="10">
        <v>3</v>
      </c>
      <c r="M356" s="8">
        <v>57</v>
      </c>
      <c r="N356" s="9">
        <v>26</v>
      </c>
      <c r="O356" s="10">
        <v>3</v>
      </c>
      <c r="P356" s="8">
        <v>75</v>
      </c>
      <c r="Q356" s="9">
        <v>40</v>
      </c>
      <c r="R356" s="10">
        <v>3</v>
      </c>
      <c r="S356" s="92">
        <f t="shared" si="136"/>
        <v>250</v>
      </c>
      <c r="T356" s="17">
        <f t="shared" si="137"/>
        <v>118</v>
      </c>
      <c r="U356" s="12">
        <v>38</v>
      </c>
      <c r="V356" s="35">
        <v>16</v>
      </c>
      <c r="W356" s="93">
        <f>I356+L356+O356+R356</f>
        <v>11</v>
      </c>
    </row>
    <row r="357" spans="1:23" ht="30" customHeight="1" x14ac:dyDescent="0.25">
      <c r="A357" s="155" t="s">
        <v>153</v>
      </c>
      <c r="B357" s="20">
        <v>33</v>
      </c>
      <c r="C357" s="21" t="s">
        <v>57</v>
      </c>
      <c r="D357" s="280" t="s">
        <v>161</v>
      </c>
      <c r="E357" s="21" t="s">
        <v>18</v>
      </c>
      <c r="F357" s="155" t="s">
        <v>105</v>
      </c>
      <c r="G357" s="146">
        <v>37</v>
      </c>
      <c r="H357" s="145">
        <v>19</v>
      </c>
      <c r="I357" s="155">
        <v>2</v>
      </c>
      <c r="J357" s="154">
        <v>48</v>
      </c>
      <c r="K357" s="155">
        <v>21</v>
      </c>
      <c r="L357" s="155">
        <v>2</v>
      </c>
      <c r="M357" s="146">
        <v>55</v>
      </c>
      <c r="N357" s="145">
        <v>26</v>
      </c>
      <c r="O357" s="155">
        <v>2</v>
      </c>
      <c r="P357" s="146">
        <v>30</v>
      </c>
      <c r="Q357" s="145">
        <v>17</v>
      </c>
      <c r="R357" s="155">
        <v>1</v>
      </c>
      <c r="S357" s="77">
        <f t="shared" si="136"/>
        <v>170</v>
      </c>
      <c r="T357" s="78">
        <f t="shared" si="137"/>
        <v>83</v>
      </c>
      <c r="U357" s="79">
        <v>33</v>
      </c>
      <c r="V357" s="23">
        <v>15</v>
      </c>
      <c r="W357" s="80">
        <f>I357+L357+O357+R357</f>
        <v>7</v>
      </c>
    </row>
    <row r="358" spans="1:23" ht="30" customHeight="1" x14ac:dyDescent="0.25">
      <c r="A358" s="155" t="s">
        <v>153</v>
      </c>
      <c r="B358" s="20">
        <v>34</v>
      </c>
      <c r="C358" s="21" t="s">
        <v>54</v>
      </c>
      <c r="D358" s="280" t="s">
        <v>162</v>
      </c>
      <c r="E358" s="21" t="s">
        <v>15</v>
      </c>
      <c r="F358" s="155" t="s">
        <v>105</v>
      </c>
      <c r="G358" s="146">
        <v>67</v>
      </c>
      <c r="H358" s="145">
        <v>31</v>
      </c>
      <c r="I358" s="155">
        <v>3</v>
      </c>
      <c r="J358" s="154">
        <v>56</v>
      </c>
      <c r="K358" s="155">
        <v>29</v>
      </c>
      <c r="L358" s="155">
        <v>2</v>
      </c>
      <c r="M358" s="146">
        <v>80</v>
      </c>
      <c r="N358" s="145">
        <v>39</v>
      </c>
      <c r="O358" s="155">
        <v>3</v>
      </c>
      <c r="P358" s="146">
        <v>61</v>
      </c>
      <c r="Q358" s="145">
        <v>33</v>
      </c>
      <c r="R358" s="155">
        <v>3</v>
      </c>
      <c r="S358" s="77">
        <f t="shared" si="136"/>
        <v>264</v>
      </c>
      <c r="T358" s="78">
        <f t="shared" si="137"/>
        <v>132</v>
      </c>
      <c r="U358" s="79">
        <v>26</v>
      </c>
      <c r="V358" s="23">
        <v>13</v>
      </c>
      <c r="W358" s="80">
        <f>I358+L358+O358+R358</f>
        <v>11</v>
      </c>
    </row>
    <row r="359" spans="1:23" ht="30" customHeight="1" thickBot="1" x14ac:dyDescent="0.3">
      <c r="A359" s="36" t="s">
        <v>153</v>
      </c>
      <c r="B359" s="351" t="s">
        <v>93</v>
      </c>
      <c r="C359" s="352"/>
      <c r="D359" s="352"/>
      <c r="E359" s="352"/>
      <c r="F359" s="353"/>
      <c r="G359" s="40">
        <f t="shared" ref="G359:H359" si="150">SUM(G355:G358)</f>
        <v>193</v>
      </c>
      <c r="H359" s="64">
        <f t="shared" si="150"/>
        <v>94</v>
      </c>
      <c r="I359" s="81">
        <f t="shared" ref="I359:W359" si="151">SUM(I355:I358)</f>
        <v>9</v>
      </c>
      <c r="J359" s="27">
        <v>213</v>
      </c>
      <c r="K359" s="81">
        <v>100</v>
      </c>
      <c r="L359" s="81">
        <f t="shared" si="151"/>
        <v>9</v>
      </c>
      <c r="M359" s="26">
        <f t="shared" si="151"/>
        <v>228</v>
      </c>
      <c r="N359" s="64">
        <f t="shared" si="151"/>
        <v>110</v>
      </c>
      <c r="O359" s="81">
        <f t="shared" si="151"/>
        <v>10</v>
      </c>
      <c r="P359" s="26">
        <f t="shared" si="151"/>
        <v>209</v>
      </c>
      <c r="Q359" s="64">
        <f t="shared" si="151"/>
        <v>112</v>
      </c>
      <c r="R359" s="81">
        <f t="shared" si="151"/>
        <v>9</v>
      </c>
      <c r="S359" s="82">
        <f t="shared" si="136"/>
        <v>843</v>
      </c>
      <c r="T359" s="83">
        <f t="shared" si="137"/>
        <v>416</v>
      </c>
      <c r="U359" s="25">
        <f t="shared" si="151"/>
        <v>106</v>
      </c>
      <c r="V359" s="84">
        <f t="shared" si="151"/>
        <v>49</v>
      </c>
      <c r="W359" s="85">
        <f t="shared" si="151"/>
        <v>37</v>
      </c>
    </row>
    <row r="360" spans="1:23" ht="30" customHeight="1" x14ac:dyDescent="0.25">
      <c r="A360" s="155" t="s">
        <v>153</v>
      </c>
      <c r="B360" s="20">
        <v>45</v>
      </c>
      <c r="C360" s="21" t="s">
        <v>65</v>
      </c>
      <c r="D360" s="280" t="s">
        <v>170</v>
      </c>
      <c r="E360" s="21" t="s">
        <v>25</v>
      </c>
      <c r="F360" s="155" t="s">
        <v>105</v>
      </c>
      <c r="G360" s="146">
        <v>53</v>
      </c>
      <c r="H360" s="145">
        <v>33</v>
      </c>
      <c r="I360" s="155">
        <v>2</v>
      </c>
      <c r="J360" s="154">
        <v>57</v>
      </c>
      <c r="K360" s="155">
        <v>30</v>
      </c>
      <c r="L360" s="155">
        <v>2</v>
      </c>
      <c r="M360" s="146">
        <v>48</v>
      </c>
      <c r="N360" s="145">
        <v>13</v>
      </c>
      <c r="O360" s="155">
        <v>2</v>
      </c>
      <c r="P360" s="146">
        <v>47</v>
      </c>
      <c r="Q360" s="145">
        <v>20</v>
      </c>
      <c r="R360" s="155">
        <v>2</v>
      </c>
      <c r="S360" s="77">
        <f t="shared" si="136"/>
        <v>205</v>
      </c>
      <c r="T360" s="78">
        <f t="shared" si="137"/>
        <v>96</v>
      </c>
      <c r="U360" s="79">
        <v>24</v>
      </c>
      <c r="V360" s="23">
        <v>13</v>
      </c>
      <c r="W360" s="80">
        <f>I360+L360+O360+R360</f>
        <v>8</v>
      </c>
    </row>
    <row r="361" spans="1:23" ht="30" customHeight="1" x14ac:dyDescent="0.25">
      <c r="A361" s="10" t="s">
        <v>153</v>
      </c>
      <c r="B361" s="33">
        <v>45</v>
      </c>
      <c r="C361" s="34" t="s">
        <v>65</v>
      </c>
      <c r="D361" s="280" t="s">
        <v>171</v>
      </c>
      <c r="E361" s="21" t="s">
        <v>43</v>
      </c>
      <c r="F361" s="155" t="s">
        <v>107</v>
      </c>
      <c r="G361" s="8">
        <v>28</v>
      </c>
      <c r="H361" s="9">
        <v>11</v>
      </c>
      <c r="I361" s="10">
        <v>1</v>
      </c>
      <c r="J361" s="92">
        <v>47</v>
      </c>
      <c r="K361" s="10">
        <v>23</v>
      </c>
      <c r="L361" s="10">
        <v>2</v>
      </c>
      <c r="M361" s="8">
        <v>48</v>
      </c>
      <c r="N361" s="17">
        <v>27</v>
      </c>
      <c r="O361" s="10">
        <v>2</v>
      </c>
      <c r="P361" s="8">
        <v>33</v>
      </c>
      <c r="Q361" s="9">
        <v>13</v>
      </c>
      <c r="R361" s="10">
        <v>2</v>
      </c>
      <c r="S361" s="92">
        <f t="shared" si="136"/>
        <v>156</v>
      </c>
      <c r="T361" s="17">
        <f t="shared" si="137"/>
        <v>74</v>
      </c>
      <c r="U361" s="12">
        <v>18</v>
      </c>
      <c r="V361" s="35">
        <v>6</v>
      </c>
      <c r="W361" s="93">
        <f>I361+L361+O361+R361</f>
        <v>7</v>
      </c>
    </row>
    <row r="362" spans="1:23" ht="30" customHeight="1" x14ac:dyDescent="0.25">
      <c r="A362" s="155" t="s">
        <v>153</v>
      </c>
      <c r="B362" s="20">
        <v>46</v>
      </c>
      <c r="C362" s="21" t="s">
        <v>73</v>
      </c>
      <c r="D362" s="280" t="s">
        <v>172</v>
      </c>
      <c r="E362" s="21" t="s">
        <v>30</v>
      </c>
      <c r="F362" s="155" t="s">
        <v>105</v>
      </c>
      <c r="G362" s="146">
        <v>79</v>
      </c>
      <c r="H362" s="145">
        <v>37</v>
      </c>
      <c r="I362" s="155">
        <v>3</v>
      </c>
      <c r="J362" s="154">
        <v>79</v>
      </c>
      <c r="K362" s="155">
        <v>39</v>
      </c>
      <c r="L362" s="155">
        <v>3</v>
      </c>
      <c r="M362" s="146">
        <v>70</v>
      </c>
      <c r="N362" s="145">
        <v>37</v>
      </c>
      <c r="O362" s="155">
        <v>3</v>
      </c>
      <c r="P362" s="146">
        <v>60</v>
      </c>
      <c r="Q362" s="145">
        <v>37</v>
      </c>
      <c r="R362" s="155">
        <v>3</v>
      </c>
      <c r="S362" s="77">
        <f t="shared" si="136"/>
        <v>288</v>
      </c>
      <c r="T362" s="78">
        <f t="shared" si="137"/>
        <v>150</v>
      </c>
      <c r="U362" s="79">
        <v>46</v>
      </c>
      <c r="V362" s="23">
        <v>18</v>
      </c>
      <c r="W362" s="80">
        <f>I362+L362+O362+R362</f>
        <v>12</v>
      </c>
    </row>
    <row r="363" spans="1:23" ht="30" customHeight="1" x14ac:dyDescent="0.25">
      <c r="A363" s="155" t="s">
        <v>153</v>
      </c>
      <c r="B363" s="20">
        <v>47</v>
      </c>
      <c r="C363" s="21" t="s">
        <v>53</v>
      </c>
      <c r="D363" s="280" t="s">
        <v>173</v>
      </c>
      <c r="E363" s="21" t="s">
        <v>133</v>
      </c>
      <c r="F363" s="155" t="s">
        <v>105</v>
      </c>
      <c r="G363" s="146">
        <f>13+11+12+12+11+13</f>
        <v>72</v>
      </c>
      <c r="H363" s="145">
        <f>5+8+7+7+5+8</f>
        <v>40</v>
      </c>
      <c r="I363" s="155">
        <v>3</v>
      </c>
      <c r="J363" s="154">
        <v>84</v>
      </c>
      <c r="K363" s="155">
        <v>45</v>
      </c>
      <c r="L363" s="155">
        <v>3</v>
      </c>
      <c r="M363" s="146">
        <v>65</v>
      </c>
      <c r="N363" s="145">
        <v>31</v>
      </c>
      <c r="O363" s="155">
        <v>3</v>
      </c>
      <c r="P363" s="146">
        <v>69</v>
      </c>
      <c r="Q363" s="145">
        <v>19</v>
      </c>
      <c r="R363" s="155">
        <v>3</v>
      </c>
      <c r="S363" s="77">
        <f t="shared" si="136"/>
        <v>290</v>
      </c>
      <c r="T363" s="78">
        <f t="shared" si="137"/>
        <v>135</v>
      </c>
      <c r="U363" s="79">
        <v>32</v>
      </c>
      <c r="V363" s="23">
        <v>17</v>
      </c>
      <c r="W363" s="80">
        <f>I363+L363+O363+R363</f>
        <v>12</v>
      </c>
    </row>
    <row r="364" spans="1:23" ht="30" customHeight="1" thickBot="1" x14ac:dyDescent="0.3">
      <c r="A364" s="149" t="s">
        <v>153</v>
      </c>
      <c r="B364" s="351" t="s">
        <v>94</v>
      </c>
      <c r="C364" s="352"/>
      <c r="D364" s="352"/>
      <c r="E364" s="352"/>
      <c r="F364" s="353"/>
      <c r="G364" s="40">
        <f t="shared" ref="G364:H364" si="152">SUM(G360:G363)</f>
        <v>232</v>
      </c>
      <c r="H364" s="64">
        <f t="shared" si="152"/>
        <v>121</v>
      </c>
      <c r="I364" s="81">
        <f t="shared" ref="I364:W364" si="153">SUM(I360:I363)</f>
        <v>9</v>
      </c>
      <c r="J364" s="27">
        <v>267</v>
      </c>
      <c r="K364" s="81">
        <v>137</v>
      </c>
      <c r="L364" s="81">
        <f t="shared" si="153"/>
        <v>10</v>
      </c>
      <c r="M364" s="26">
        <f t="shared" si="153"/>
        <v>231</v>
      </c>
      <c r="N364" s="64">
        <f t="shared" si="153"/>
        <v>108</v>
      </c>
      <c r="O364" s="81">
        <f t="shared" si="153"/>
        <v>10</v>
      </c>
      <c r="P364" s="26">
        <f t="shared" si="153"/>
        <v>209</v>
      </c>
      <c r="Q364" s="64">
        <f t="shared" si="153"/>
        <v>89</v>
      </c>
      <c r="R364" s="81">
        <f t="shared" si="153"/>
        <v>10</v>
      </c>
      <c r="S364" s="82">
        <f t="shared" si="136"/>
        <v>939</v>
      </c>
      <c r="T364" s="83">
        <f t="shared" si="137"/>
        <v>455</v>
      </c>
      <c r="U364" s="25">
        <f t="shared" si="153"/>
        <v>120</v>
      </c>
      <c r="V364" s="84">
        <f t="shared" si="153"/>
        <v>54</v>
      </c>
      <c r="W364" s="85">
        <f t="shared" si="153"/>
        <v>39</v>
      </c>
    </row>
    <row r="365" spans="1:23" ht="30" customHeight="1" thickBot="1" x14ac:dyDescent="0.3">
      <c r="A365" s="43" t="s">
        <v>153</v>
      </c>
      <c r="B365" s="348" t="s">
        <v>95</v>
      </c>
      <c r="C365" s="349"/>
      <c r="D365" s="349"/>
      <c r="E365" s="349"/>
      <c r="F365" s="350"/>
      <c r="G365" s="40">
        <f t="shared" ref="G365:H365" si="154">G348+G354+G359+G364</f>
        <v>752</v>
      </c>
      <c r="H365" s="64">
        <f t="shared" si="154"/>
        <v>387</v>
      </c>
      <c r="I365" s="81">
        <f t="shared" ref="I365:W365" si="155">I348+I354+I359+I364</f>
        <v>30.75</v>
      </c>
      <c r="J365" s="27">
        <v>815</v>
      </c>
      <c r="K365" s="81">
        <v>405</v>
      </c>
      <c r="L365" s="94">
        <f t="shared" si="155"/>
        <v>31.75</v>
      </c>
      <c r="M365" s="26">
        <f t="shared" si="155"/>
        <v>761</v>
      </c>
      <c r="N365" s="64">
        <f t="shared" si="155"/>
        <v>352</v>
      </c>
      <c r="O365" s="81">
        <f t="shared" si="155"/>
        <v>32.75</v>
      </c>
      <c r="P365" s="26">
        <f t="shared" si="155"/>
        <v>692</v>
      </c>
      <c r="Q365" s="64">
        <f t="shared" si="155"/>
        <v>333</v>
      </c>
      <c r="R365" s="81">
        <f t="shared" si="155"/>
        <v>31.75</v>
      </c>
      <c r="S365" s="42">
        <f t="shared" si="136"/>
        <v>3020</v>
      </c>
      <c r="T365" s="95">
        <f t="shared" si="137"/>
        <v>1477</v>
      </c>
      <c r="U365" s="25">
        <f t="shared" si="155"/>
        <v>340</v>
      </c>
      <c r="V365" s="84">
        <f t="shared" si="155"/>
        <v>154</v>
      </c>
      <c r="W365" s="85">
        <f t="shared" si="155"/>
        <v>127</v>
      </c>
    </row>
    <row r="366" spans="1:23" ht="30" customHeight="1" x14ac:dyDescent="0.25">
      <c r="A366" s="44" t="s">
        <v>153</v>
      </c>
      <c r="B366" s="20">
        <v>51</v>
      </c>
      <c r="C366" s="21" t="s">
        <v>66</v>
      </c>
      <c r="D366" s="280" t="s">
        <v>174</v>
      </c>
      <c r="E366" s="21" t="s">
        <v>26</v>
      </c>
      <c r="F366" s="155" t="s">
        <v>105</v>
      </c>
      <c r="G366" s="146">
        <v>63</v>
      </c>
      <c r="H366" s="145">
        <v>30</v>
      </c>
      <c r="I366" s="155">
        <v>3</v>
      </c>
      <c r="J366" s="154">
        <v>75</v>
      </c>
      <c r="K366" s="155">
        <v>40</v>
      </c>
      <c r="L366" s="155">
        <v>3</v>
      </c>
      <c r="M366" s="146">
        <v>68</v>
      </c>
      <c r="N366" s="145">
        <v>36</v>
      </c>
      <c r="O366" s="155">
        <v>3</v>
      </c>
      <c r="P366" s="146">
        <v>60</v>
      </c>
      <c r="Q366" s="145">
        <v>37</v>
      </c>
      <c r="R366" s="155">
        <v>3</v>
      </c>
      <c r="S366" s="77">
        <f t="shared" si="136"/>
        <v>266</v>
      </c>
      <c r="T366" s="78">
        <f t="shared" si="137"/>
        <v>143</v>
      </c>
      <c r="U366" s="79">
        <v>63</v>
      </c>
      <c r="V366" s="23">
        <v>34</v>
      </c>
      <c r="W366" s="80">
        <f>I366+L366+O366+R366</f>
        <v>12</v>
      </c>
    </row>
    <row r="367" spans="1:23" ht="30" customHeight="1" x14ac:dyDescent="0.25">
      <c r="A367" s="10" t="s">
        <v>153</v>
      </c>
      <c r="B367" s="33">
        <v>51</v>
      </c>
      <c r="C367" s="34" t="s">
        <v>66</v>
      </c>
      <c r="D367" s="280" t="s">
        <v>175</v>
      </c>
      <c r="E367" s="21" t="s">
        <v>41</v>
      </c>
      <c r="F367" s="155" t="s">
        <v>107</v>
      </c>
      <c r="G367" s="8">
        <v>80</v>
      </c>
      <c r="H367" s="9">
        <v>35</v>
      </c>
      <c r="I367" s="10">
        <v>3</v>
      </c>
      <c r="J367" s="92">
        <v>85</v>
      </c>
      <c r="K367" s="10">
        <v>33</v>
      </c>
      <c r="L367" s="10">
        <v>3</v>
      </c>
      <c r="M367" s="8">
        <v>81</v>
      </c>
      <c r="N367" s="9">
        <v>36</v>
      </c>
      <c r="O367" s="10">
        <v>3</v>
      </c>
      <c r="P367" s="8">
        <v>80</v>
      </c>
      <c r="Q367" s="9">
        <v>45</v>
      </c>
      <c r="R367" s="10">
        <v>3</v>
      </c>
      <c r="S367" s="92">
        <f t="shared" si="136"/>
        <v>326</v>
      </c>
      <c r="T367" s="17">
        <f t="shared" si="137"/>
        <v>149</v>
      </c>
      <c r="U367" s="12">
        <v>23</v>
      </c>
      <c r="V367" s="35">
        <v>12</v>
      </c>
      <c r="W367" s="93">
        <f>I367+L367+O367+R367</f>
        <v>12</v>
      </c>
    </row>
    <row r="368" spans="1:23" ht="30" customHeight="1" x14ac:dyDescent="0.25">
      <c r="A368" s="10" t="s">
        <v>153</v>
      </c>
      <c r="B368" s="33">
        <v>51</v>
      </c>
      <c r="C368" s="34" t="s">
        <v>66</v>
      </c>
      <c r="D368" s="280" t="s">
        <v>176</v>
      </c>
      <c r="E368" s="21" t="s">
        <v>144</v>
      </c>
      <c r="F368" s="155" t="s">
        <v>106</v>
      </c>
      <c r="G368" s="91">
        <f>14+1+12+8+13+11+7+12+11</f>
        <v>89</v>
      </c>
      <c r="H368" s="17">
        <f>9+1+5+4+9+7+5+7+8</f>
        <v>55</v>
      </c>
      <c r="I368" s="10">
        <v>4</v>
      </c>
      <c r="J368" s="92">
        <v>104</v>
      </c>
      <c r="K368" s="10">
        <v>49</v>
      </c>
      <c r="L368" s="10">
        <v>4</v>
      </c>
      <c r="M368" s="91">
        <f>15+9+12+11+13+12+13+14</f>
        <v>99</v>
      </c>
      <c r="N368" s="17">
        <f>8+4+5+5+4+6+10+8</f>
        <v>50</v>
      </c>
      <c r="O368" s="10">
        <v>4</v>
      </c>
      <c r="P368" s="91">
        <f>9+14+12+1+12+14+10+1+13+12</f>
        <v>98</v>
      </c>
      <c r="Q368" s="17">
        <f>7+6+5+1+7+5+1+1+5+7</f>
        <v>45</v>
      </c>
      <c r="R368" s="10">
        <v>4</v>
      </c>
      <c r="S368" s="92">
        <f t="shared" si="136"/>
        <v>390</v>
      </c>
      <c r="T368" s="17">
        <f t="shared" si="137"/>
        <v>199</v>
      </c>
      <c r="U368" s="12">
        <v>39</v>
      </c>
      <c r="V368" s="35">
        <v>23</v>
      </c>
      <c r="W368" s="93">
        <f>I368+L368+O368+R368</f>
        <v>16</v>
      </c>
    </row>
    <row r="369" spans="1:23" ht="30" customHeight="1" x14ac:dyDescent="0.25">
      <c r="A369" s="155" t="s">
        <v>153</v>
      </c>
      <c r="B369" s="20">
        <v>52</v>
      </c>
      <c r="C369" s="21" t="s">
        <v>72</v>
      </c>
      <c r="D369" s="280" t="s">
        <v>177</v>
      </c>
      <c r="E369" s="21" t="s">
        <v>29</v>
      </c>
      <c r="F369" s="155" t="s">
        <v>105</v>
      </c>
      <c r="G369" s="146">
        <v>42</v>
      </c>
      <c r="H369" s="145">
        <v>20</v>
      </c>
      <c r="I369" s="155">
        <v>2</v>
      </c>
      <c r="J369" s="154">
        <v>56</v>
      </c>
      <c r="K369" s="155">
        <v>29</v>
      </c>
      <c r="L369" s="155">
        <v>2</v>
      </c>
      <c r="M369" s="146">
        <v>48</v>
      </c>
      <c r="N369" s="145">
        <v>22</v>
      </c>
      <c r="O369" s="155">
        <v>2</v>
      </c>
      <c r="P369" s="146">
        <v>51</v>
      </c>
      <c r="Q369" s="145">
        <v>25</v>
      </c>
      <c r="R369" s="155">
        <v>2</v>
      </c>
      <c r="S369" s="77">
        <f t="shared" si="136"/>
        <v>197</v>
      </c>
      <c r="T369" s="78">
        <f t="shared" si="137"/>
        <v>96</v>
      </c>
      <c r="U369" s="79">
        <v>17</v>
      </c>
      <c r="V369" s="23">
        <v>9</v>
      </c>
      <c r="W369" s="80">
        <f>I369+L369+O369+R369</f>
        <v>8</v>
      </c>
    </row>
    <row r="370" spans="1:23" ht="30" customHeight="1" x14ac:dyDescent="0.25">
      <c r="A370" s="10" t="s">
        <v>153</v>
      </c>
      <c r="B370" s="33">
        <v>54</v>
      </c>
      <c r="C370" s="34" t="s">
        <v>89</v>
      </c>
      <c r="D370" s="280" t="s">
        <v>178</v>
      </c>
      <c r="E370" s="21" t="s">
        <v>111</v>
      </c>
      <c r="F370" s="155" t="s">
        <v>107</v>
      </c>
      <c r="G370" s="8">
        <v>55</v>
      </c>
      <c r="H370" s="9">
        <v>26</v>
      </c>
      <c r="I370" s="10">
        <v>2</v>
      </c>
      <c r="J370" s="92">
        <v>39</v>
      </c>
      <c r="K370" s="10">
        <v>21</v>
      </c>
      <c r="L370" s="10">
        <v>2</v>
      </c>
      <c r="M370" s="8">
        <v>47</v>
      </c>
      <c r="N370" s="9">
        <v>21</v>
      </c>
      <c r="O370" s="10">
        <v>2</v>
      </c>
      <c r="P370" s="8">
        <v>39</v>
      </c>
      <c r="Q370" s="9">
        <v>21</v>
      </c>
      <c r="R370" s="10">
        <v>2</v>
      </c>
      <c r="S370" s="92">
        <f t="shared" si="136"/>
        <v>180</v>
      </c>
      <c r="T370" s="17">
        <f t="shared" si="137"/>
        <v>89</v>
      </c>
      <c r="U370" s="12">
        <v>14</v>
      </c>
      <c r="V370" s="35">
        <v>5</v>
      </c>
      <c r="W370" s="93">
        <f>I370+L370+O370+R370</f>
        <v>8</v>
      </c>
    </row>
    <row r="371" spans="1:23" ht="30" customHeight="1" x14ac:dyDescent="0.25">
      <c r="A371" s="10" t="s">
        <v>153</v>
      </c>
      <c r="B371" s="33">
        <v>56</v>
      </c>
      <c r="C371" s="34" t="s">
        <v>83</v>
      </c>
      <c r="D371" s="280" t="s">
        <v>179</v>
      </c>
      <c r="E371" s="21" t="s">
        <v>152</v>
      </c>
      <c r="F371" s="155" t="s">
        <v>107</v>
      </c>
      <c r="G371" s="8">
        <f>10+11+26+25</f>
        <v>72</v>
      </c>
      <c r="H371" s="9">
        <f>12+13+5+6</f>
        <v>36</v>
      </c>
      <c r="I371" s="10">
        <v>3</v>
      </c>
      <c r="J371" s="92">
        <v>78</v>
      </c>
      <c r="K371" s="10">
        <v>33</v>
      </c>
      <c r="L371" s="10">
        <v>3</v>
      </c>
      <c r="M371" s="8">
        <v>78</v>
      </c>
      <c r="N371" s="9">
        <v>42</v>
      </c>
      <c r="O371" s="10">
        <v>3</v>
      </c>
      <c r="P371" s="8">
        <v>85</v>
      </c>
      <c r="Q371" s="9">
        <v>36</v>
      </c>
      <c r="R371" s="10">
        <v>4</v>
      </c>
      <c r="S371" s="92">
        <f t="shared" si="136"/>
        <v>313</v>
      </c>
      <c r="T371" s="17">
        <f t="shared" si="137"/>
        <v>147</v>
      </c>
      <c r="U371" s="12">
        <v>27</v>
      </c>
      <c r="V371" s="35">
        <v>15</v>
      </c>
      <c r="W371" s="93">
        <f>I371+L371+O371+R371</f>
        <v>13</v>
      </c>
    </row>
    <row r="372" spans="1:23" ht="30" customHeight="1" x14ac:dyDescent="0.25">
      <c r="A372" s="155" t="s">
        <v>153</v>
      </c>
      <c r="B372" s="20">
        <v>57</v>
      </c>
      <c r="C372" s="21" t="s">
        <v>63</v>
      </c>
      <c r="D372" s="280" t="s">
        <v>180</v>
      </c>
      <c r="E372" s="21" t="s">
        <v>23</v>
      </c>
      <c r="F372" s="155" t="s">
        <v>105</v>
      </c>
      <c r="G372" s="146">
        <v>100</v>
      </c>
      <c r="H372" s="145">
        <v>48</v>
      </c>
      <c r="I372" s="155">
        <v>4</v>
      </c>
      <c r="J372" s="154">
        <v>109</v>
      </c>
      <c r="K372" s="155">
        <v>40</v>
      </c>
      <c r="L372" s="155">
        <v>4</v>
      </c>
      <c r="M372" s="146">
        <v>89</v>
      </c>
      <c r="N372" s="145">
        <v>44</v>
      </c>
      <c r="O372" s="155">
        <v>4</v>
      </c>
      <c r="P372" s="146">
        <v>89</v>
      </c>
      <c r="Q372" s="145">
        <v>38</v>
      </c>
      <c r="R372" s="155">
        <v>4</v>
      </c>
      <c r="S372" s="77">
        <f t="shared" si="136"/>
        <v>387</v>
      </c>
      <c r="T372" s="78">
        <f t="shared" si="137"/>
        <v>170</v>
      </c>
      <c r="U372" s="79">
        <v>33</v>
      </c>
      <c r="V372" s="23">
        <v>14</v>
      </c>
      <c r="W372" s="80">
        <f>I372+L372+O372+R372</f>
        <v>16</v>
      </c>
    </row>
    <row r="373" spans="1:23" ht="30" customHeight="1" x14ac:dyDescent="0.25">
      <c r="A373" s="155" t="s">
        <v>153</v>
      </c>
      <c r="B373" s="45">
        <v>58</v>
      </c>
      <c r="C373" s="46" t="s">
        <v>50</v>
      </c>
      <c r="D373" s="282" t="s">
        <v>181</v>
      </c>
      <c r="E373" s="46" t="s">
        <v>12</v>
      </c>
      <c r="F373" s="149" t="s">
        <v>105</v>
      </c>
      <c r="G373" s="146">
        <v>54</v>
      </c>
      <c r="H373" s="145">
        <v>26</v>
      </c>
      <c r="I373" s="155">
        <v>2</v>
      </c>
      <c r="J373" s="154">
        <v>46</v>
      </c>
      <c r="K373" s="155">
        <v>25</v>
      </c>
      <c r="L373" s="155">
        <v>2</v>
      </c>
      <c r="M373" s="146">
        <v>57</v>
      </c>
      <c r="N373" s="145">
        <v>33</v>
      </c>
      <c r="O373" s="155">
        <v>3</v>
      </c>
      <c r="P373" s="146">
        <v>49</v>
      </c>
      <c r="Q373" s="145">
        <v>22</v>
      </c>
      <c r="R373" s="155">
        <v>2</v>
      </c>
      <c r="S373" s="77">
        <f t="shared" si="136"/>
        <v>206</v>
      </c>
      <c r="T373" s="78">
        <f t="shared" si="137"/>
        <v>106</v>
      </c>
      <c r="U373" s="79">
        <v>14</v>
      </c>
      <c r="V373" s="23">
        <v>6</v>
      </c>
      <c r="W373" s="80">
        <f>I373+L373+O373+R373</f>
        <v>9</v>
      </c>
    </row>
    <row r="374" spans="1:23" ht="30" customHeight="1" thickBot="1" x14ac:dyDescent="0.3">
      <c r="A374" s="36" t="s">
        <v>153</v>
      </c>
      <c r="B374" s="351" t="s">
        <v>96</v>
      </c>
      <c r="C374" s="352"/>
      <c r="D374" s="352"/>
      <c r="E374" s="352"/>
      <c r="F374" s="353"/>
      <c r="G374" s="40">
        <f t="shared" ref="G374:H374" si="156">SUM(G366:G373)</f>
        <v>555</v>
      </c>
      <c r="H374" s="64">
        <f t="shared" si="156"/>
        <v>276</v>
      </c>
      <c r="I374" s="81">
        <f t="shared" ref="I374:W374" si="157">SUM(I366:I373)</f>
        <v>23</v>
      </c>
      <c r="J374" s="27">
        <v>592</v>
      </c>
      <c r="K374" s="81">
        <v>270</v>
      </c>
      <c r="L374" s="96">
        <f t="shared" si="157"/>
        <v>23</v>
      </c>
      <c r="M374" s="26">
        <f t="shared" si="157"/>
        <v>567</v>
      </c>
      <c r="N374" s="64">
        <f t="shared" si="157"/>
        <v>284</v>
      </c>
      <c r="O374" s="81">
        <f t="shared" si="157"/>
        <v>24</v>
      </c>
      <c r="P374" s="26">
        <f t="shared" si="157"/>
        <v>551</v>
      </c>
      <c r="Q374" s="64">
        <f t="shared" si="157"/>
        <v>269</v>
      </c>
      <c r="R374" s="81">
        <f t="shared" si="157"/>
        <v>24</v>
      </c>
      <c r="S374" s="42">
        <f t="shared" si="136"/>
        <v>2265</v>
      </c>
      <c r="T374" s="95">
        <f t="shared" si="137"/>
        <v>1099</v>
      </c>
      <c r="U374" s="25">
        <f t="shared" si="157"/>
        <v>230</v>
      </c>
      <c r="V374" s="84">
        <f t="shared" si="157"/>
        <v>118</v>
      </c>
      <c r="W374" s="85">
        <f t="shared" si="157"/>
        <v>94</v>
      </c>
    </row>
    <row r="375" spans="1:23" ht="30" customHeight="1" x14ac:dyDescent="0.25">
      <c r="A375" s="37" t="s">
        <v>153</v>
      </c>
      <c r="B375" s="33">
        <v>61</v>
      </c>
      <c r="C375" s="34" t="s">
        <v>69</v>
      </c>
      <c r="D375" s="280" t="s">
        <v>182</v>
      </c>
      <c r="E375" s="21" t="s">
        <v>139</v>
      </c>
      <c r="F375" s="155" t="s">
        <v>106</v>
      </c>
      <c r="G375" s="91">
        <v>51</v>
      </c>
      <c r="H375" s="17">
        <v>23</v>
      </c>
      <c r="I375" s="10">
        <v>2</v>
      </c>
      <c r="J375" s="92">
        <v>77</v>
      </c>
      <c r="K375" s="10">
        <v>41</v>
      </c>
      <c r="L375" s="10">
        <v>3</v>
      </c>
      <c r="M375" s="91">
        <v>29</v>
      </c>
      <c r="N375" s="17">
        <v>13</v>
      </c>
      <c r="O375" s="10">
        <v>2</v>
      </c>
      <c r="P375" s="91">
        <v>35</v>
      </c>
      <c r="Q375" s="17">
        <v>19</v>
      </c>
      <c r="R375" s="10">
        <v>2</v>
      </c>
      <c r="S375" s="92">
        <f t="shared" si="136"/>
        <v>192</v>
      </c>
      <c r="T375" s="17">
        <f t="shared" si="137"/>
        <v>96</v>
      </c>
      <c r="U375" s="12">
        <v>73</v>
      </c>
      <c r="V375" s="35">
        <v>39</v>
      </c>
      <c r="W375" s="93">
        <f>I375+L375+O375+R375</f>
        <v>9</v>
      </c>
    </row>
    <row r="376" spans="1:23" ht="30" customHeight="1" x14ac:dyDescent="0.25">
      <c r="A376" s="44" t="s">
        <v>153</v>
      </c>
      <c r="B376" s="20">
        <v>61</v>
      </c>
      <c r="C376" s="21" t="s">
        <v>69</v>
      </c>
      <c r="D376" s="280" t="s">
        <v>183</v>
      </c>
      <c r="E376" s="21" t="s">
        <v>146</v>
      </c>
      <c r="F376" s="155" t="s">
        <v>105</v>
      </c>
      <c r="G376" s="146">
        <f>7+3+6+3+11+8+8+2+8+1</f>
        <v>57</v>
      </c>
      <c r="H376" s="145">
        <f>5+3+3+5+4+5+4</f>
        <v>29</v>
      </c>
      <c r="I376" s="155">
        <v>3</v>
      </c>
      <c r="J376" s="154">
        <v>92</v>
      </c>
      <c r="K376" s="155">
        <v>37</v>
      </c>
      <c r="L376" s="155">
        <v>3</v>
      </c>
      <c r="M376" s="146">
        <v>47</v>
      </c>
      <c r="N376" s="145">
        <v>31</v>
      </c>
      <c r="O376" s="155">
        <v>2</v>
      </c>
      <c r="P376" s="146">
        <v>61</v>
      </c>
      <c r="Q376" s="145">
        <v>28</v>
      </c>
      <c r="R376" s="155">
        <v>3</v>
      </c>
      <c r="S376" s="77">
        <f t="shared" si="136"/>
        <v>257</v>
      </c>
      <c r="T376" s="17">
        <f t="shared" si="137"/>
        <v>125</v>
      </c>
      <c r="U376" s="79">
        <v>57</v>
      </c>
      <c r="V376" s="23">
        <v>32</v>
      </c>
      <c r="W376" s="80">
        <f>I376+L376+O376+R376</f>
        <v>11</v>
      </c>
    </row>
    <row r="377" spans="1:23" ht="30" customHeight="1" x14ac:dyDescent="0.25">
      <c r="A377" s="29" t="s">
        <v>153</v>
      </c>
      <c r="B377" s="47">
        <v>62</v>
      </c>
      <c r="C377" s="48" t="s">
        <v>77</v>
      </c>
      <c r="D377" s="113" t="s">
        <v>184</v>
      </c>
      <c r="E377" s="11" t="s">
        <v>76</v>
      </c>
      <c r="F377" s="145" t="s">
        <v>106</v>
      </c>
      <c r="G377" s="91">
        <v>65</v>
      </c>
      <c r="H377" s="17">
        <v>28</v>
      </c>
      <c r="I377" s="10">
        <v>3</v>
      </c>
      <c r="J377" s="92">
        <v>62</v>
      </c>
      <c r="K377" s="10">
        <v>31</v>
      </c>
      <c r="L377" s="97">
        <v>3</v>
      </c>
      <c r="M377" s="91">
        <v>63</v>
      </c>
      <c r="N377" s="17">
        <v>37</v>
      </c>
      <c r="O377" s="10">
        <v>3</v>
      </c>
      <c r="P377" s="91">
        <v>55</v>
      </c>
      <c r="Q377" s="17">
        <v>30</v>
      </c>
      <c r="R377" s="10">
        <v>3</v>
      </c>
      <c r="S377" s="91">
        <f t="shared" si="136"/>
        <v>245</v>
      </c>
      <c r="T377" s="17">
        <f t="shared" si="137"/>
        <v>126</v>
      </c>
      <c r="U377" s="12">
        <v>23</v>
      </c>
      <c r="V377" s="35">
        <v>12</v>
      </c>
      <c r="W377" s="93">
        <f>I377+L377+O377+R377</f>
        <v>12</v>
      </c>
    </row>
    <row r="378" spans="1:23" ht="30" customHeight="1" x14ac:dyDescent="0.25">
      <c r="A378" s="10" t="s">
        <v>153</v>
      </c>
      <c r="B378" s="47">
        <v>63</v>
      </c>
      <c r="C378" s="48" t="s">
        <v>80</v>
      </c>
      <c r="D378" s="113" t="s">
        <v>185</v>
      </c>
      <c r="E378" s="11" t="s">
        <v>110</v>
      </c>
      <c r="F378" s="145" t="s">
        <v>107</v>
      </c>
      <c r="G378" s="8">
        <v>40</v>
      </c>
      <c r="H378" s="9">
        <v>25</v>
      </c>
      <c r="I378" s="10">
        <v>2</v>
      </c>
      <c r="J378" s="92">
        <v>52</v>
      </c>
      <c r="K378" s="10">
        <v>33</v>
      </c>
      <c r="L378" s="97">
        <v>2</v>
      </c>
      <c r="M378" s="8">
        <v>43</v>
      </c>
      <c r="N378" s="9">
        <v>19</v>
      </c>
      <c r="O378" s="10">
        <v>2</v>
      </c>
      <c r="P378" s="8">
        <v>41</v>
      </c>
      <c r="Q378" s="9">
        <v>21</v>
      </c>
      <c r="R378" s="10">
        <v>2</v>
      </c>
      <c r="S378" s="91">
        <f t="shared" si="136"/>
        <v>176</v>
      </c>
      <c r="T378" s="17">
        <f t="shared" si="137"/>
        <v>98</v>
      </c>
      <c r="U378" s="12">
        <v>22</v>
      </c>
      <c r="V378" s="35">
        <v>11</v>
      </c>
      <c r="W378" s="93">
        <f>I378+L378+O378+R378</f>
        <v>8</v>
      </c>
    </row>
    <row r="379" spans="1:23" ht="30" customHeight="1" x14ac:dyDescent="0.25">
      <c r="A379" s="10" t="s">
        <v>153</v>
      </c>
      <c r="B379" s="47">
        <v>63</v>
      </c>
      <c r="C379" s="48" t="s">
        <v>80</v>
      </c>
      <c r="D379" s="113" t="s">
        <v>186</v>
      </c>
      <c r="E379" s="11" t="s">
        <v>155</v>
      </c>
      <c r="F379" s="145" t="s">
        <v>107</v>
      </c>
      <c r="G379" s="8">
        <f>11+9+8+8+11+8</f>
        <v>55</v>
      </c>
      <c r="H379" s="9">
        <f>5+4+2+2+4+6</f>
        <v>23</v>
      </c>
      <c r="I379" s="10">
        <v>3</v>
      </c>
      <c r="J379" s="92">
        <v>68</v>
      </c>
      <c r="K379" s="10">
        <v>38</v>
      </c>
      <c r="L379" s="97">
        <v>3</v>
      </c>
      <c r="M379" s="8">
        <v>45</v>
      </c>
      <c r="N379" s="9">
        <v>16</v>
      </c>
      <c r="O379" s="10">
        <v>2</v>
      </c>
      <c r="P379" s="8">
        <v>54</v>
      </c>
      <c r="Q379" s="9">
        <v>27</v>
      </c>
      <c r="R379" s="10">
        <v>3</v>
      </c>
      <c r="S379" s="91">
        <f t="shared" si="136"/>
        <v>222</v>
      </c>
      <c r="T379" s="17">
        <f t="shared" si="137"/>
        <v>104</v>
      </c>
      <c r="U379" s="12">
        <v>65</v>
      </c>
      <c r="V379" s="35">
        <v>31</v>
      </c>
      <c r="W379" s="93">
        <f>I379+L379+O379+R379</f>
        <v>11</v>
      </c>
    </row>
    <row r="380" spans="1:23" ht="30" customHeight="1" x14ac:dyDescent="0.25">
      <c r="A380" s="155" t="s">
        <v>153</v>
      </c>
      <c r="B380" s="163">
        <v>68</v>
      </c>
      <c r="C380" s="49" t="s">
        <v>56</v>
      </c>
      <c r="D380" s="283" t="s">
        <v>187</v>
      </c>
      <c r="E380" s="49" t="s">
        <v>150</v>
      </c>
      <c r="F380" s="152" t="s">
        <v>105</v>
      </c>
      <c r="G380" s="146">
        <f>13+13+14</f>
        <v>40</v>
      </c>
      <c r="H380" s="145">
        <f>8+5+7</f>
        <v>20</v>
      </c>
      <c r="I380" s="155">
        <v>1.5</v>
      </c>
      <c r="J380" s="154">
        <v>42</v>
      </c>
      <c r="K380" s="155">
        <v>15</v>
      </c>
      <c r="L380" s="157">
        <v>1.5</v>
      </c>
      <c r="M380" s="146">
        <v>29</v>
      </c>
      <c r="N380" s="145">
        <v>14</v>
      </c>
      <c r="O380" s="155">
        <v>1</v>
      </c>
      <c r="P380" s="146">
        <v>29</v>
      </c>
      <c r="Q380" s="145">
        <v>15</v>
      </c>
      <c r="R380" s="155">
        <v>1</v>
      </c>
      <c r="S380" s="98">
        <f t="shared" si="136"/>
        <v>140</v>
      </c>
      <c r="T380" s="78">
        <f t="shared" si="137"/>
        <v>64</v>
      </c>
      <c r="U380" s="79">
        <v>9</v>
      </c>
      <c r="V380" s="23">
        <v>5</v>
      </c>
      <c r="W380" s="80">
        <f>I380+L380+O380+R380</f>
        <v>5</v>
      </c>
    </row>
    <row r="381" spans="1:23" ht="30" customHeight="1" thickBot="1" x14ac:dyDescent="0.3">
      <c r="A381" s="36" t="s">
        <v>153</v>
      </c>
      <c r="B381" s="351" t="s">
        <v>98</v>
      </c>
      <c r="C381" s="352"/>
      <c r="D381" s="352"/>
      <c r="E381" s="352"/>
      <c r="F381" s="353"/>
      <c r="G381" s="40">
        <f t="shared" ref="G381:H381" si="158">SUM(G375:G380)</f>
        <v>308</v>
      </c>
      <c r="H381" s="64">
        <f t="shared" si="158"/>
        <v>148</v>
      </c>
      <c r="I381" s="81">
        <f t="shared" ref="I381:W381" si="159">SUM(I375:I380)</f>
        <v>14.5</v>
      </c>
      <c r="J381" s="27">
        <v>393</v>
      </c>
      <c r="K381" s="81">
        <v>195</v>
      </c>
      <c r="L381" s="109">
        <f t="shared" si="159"/>
        <v>15.5</v>
      </c>
      <c r="M381" s="26">
        <f t="shared" si="159"/>
        <v>256</v>
      </c>
      <c r="N381" s="64">
        <f t="shared" si="159"/>
        <v>130</v>
      </c>
      <c r="O381" s="81">
        <f t="shared" si="159"/>
        <v>12</v>
      </c>
      <c r="P381" s="26">
        <f t="shared" si="159"/>
        <v>275</v>
      </c>
      <c r="Q381" s="64">
        <f t="shared" si="159"/>
        <v>140</v>
      </c>
      <c r="R381" s="81">
        <f t="shared" si="159"/>
        <v>14</v>
      </c>
      <c r="S381" s="42">
        <f t="shared" si="136"/>
        <v>1232</v>
      </c>
      <c r="T381" s="95">
        <f t="shared" si="137"/>
        <v>613</v>
      </c>
      <c r="U381" s="25">
        <f t="shared" si="159"/>
        <v>249</v>
      </c>
      <c r="V381" s="84">
        <f t="shared" si="159"/>
        <v>130</v>
      </c>
      <c r="W381" s="85">
        <f t="shared" si="159"/>
        <v>56</v>
      </c>
    </row>
    <row r="382" spans="1:23" ht="30" customHeight="1" x14ac:dyDescent="0.25">
      <c r="A382" s="10" t="s">
        <v>153</v>
      </c>
      <c r="B382" s="47">
        <v>71</v>
      </c>
      <c r="C382" s="48" t="s">
        <v>71</v>
      </c>
      <c r="D382" s="113" t="s">
        <v>188</v>
      </c>
      <c r="E382" s="11" t="s">
        <v>39</v>
      </c>
      <c r="F382" s="145" t="s">
        <v>107</v>
      </c>
      <c r="G382" s="8">
        <f>51</f>
        <v>51</v>
      </c>
      <c r="H382" s="9">
        <v>23</v>
      </c>
      <c r="I382" s="10">
        <v>2</v>
      </c>
      <c r="J382" s="92">
        <v>62</v>
      </c>
      <c r="K382" s="10">
        <v>33</v>
      </c>
      <c r="L382" s="97">
        <v>2</v>
      </c>
      <c r="M382" s="8">
        <v>58</v>
      </c>
      <c r="N382" s="9">
        <v>22</v>
      </c>
      <c r="O382" s="10">
        <v>2</v>
      </c>
      <c r="P382" s="8">
        <v>40</v>
      </c>
      <c r="Q382" s="9">
        <v>21</v>
      </c>
      <c r="R382" s="10">
        <v>2</v>
      </c>
      <c r="S382" s="91">
        <f t="shared" si="136"/>
        <v>211</v>
      </c>
      <c r="T382" s="17">
        <f t="shared" si="137"/>
        <v>99</v>
      </c>
      <c r="U382" s="12">
        <v>11</v>
      </c>
      <c r="V382" s="35">
        <v>4</v>
      </c>
      <c r="W382" s="99">
        <f>I382+L382+O382+R382</f>
        <v>8</v>
      </c>
    </row>
    <row r="383" spans="1:23" ht="30" customHeight="1" x14ac:dyDescent="0.25">
      <c r="A383" s="155" t="s">
        <v>153</v>
      </c>
      <c r="B383" s="39">
        <v>71</v>
      </c>
      <c r="C383" s="11" t="s">
        <v>71</v>
      </c>
      <c r="D383" s="113" t="s">
        <v>189</v>
      </c>
      <c r="E383" s="11" t="s">
        <v>28</v>
      </c>
      <c r="F383" s="145" t="s">
        <v>105</v>
      </c>
      <c r="G383" s="146">
        <v>27</v>
      </c>
      <c r="H383" s="145">
        <v>11</v>
      </c>
      <c r="I383" s="155">
        <v>1</v>
      </c>
      <c r="J383" s="154">
        <v>29</v>
      </c>
      <c r="K383" s="155">
        <v>15</v>
      </c>
      <c r="L383" s="157">
        <v>1</v>
      </c>
      <c r="M383" s="146">
        <v>30</v>
      </c>
      <c r="N383" s="145">
        <v>16</v>
      </c>
      <c r="O383" s="155">
        <v>1</v>
      </c>
      <c r="P383" s="146">
        <v>23</v>
      </c>
      <c r="Q383" s="145">
        <v>9</v>
      </c>
      <c r="R383" s="155">
        <v>1</v>
      </c>
      <c r="S383" s="91">
        <f t="shared" si="136"/>
        <v>109</v>
      </c>
      <c r="T383" s="78">
        <f t="shared" si="137"/>
        <v>51</v>
      </c>
      <c r="U383" s="79">
        <v>2</v>
      </c>
      <c r="V383" s="23">
        <v>1</v>
      </c>
      <c r="W383" s="93">
        <f>I383+L383+O383+R383</f>
        <v>4</v>
      </c>
    </row>
    <row r="384" spans="1:23" ht="30" customHeight="1" thickBot="1" x14ac:dyDescent="0.3">
      <c r="A384" s="50" t="s">
        <v>153</v>
      </c>
      <c r="B384" s="47">
        <v>76</v>
      </c>
      <c r="C384" s="48" t="s">
        <v>78</v>
      </c>
      <c r="D384" s="113" t="s">
        <v>190</v>
      </c>
      <c r="E384" s="11" t="s">
        <v>151</v>
      </c>
      <c r="F384" s="145" t="s">
        <v>107</v>
      </c>
      <c r="G384" s="8">
        <f>10+13+10</f>
        <v>33</v>
      </c>
      <c r="H384" s="9">
        <f>8+6+4</f>
        <v>18</v>
      </c>
      <c r="I384" s="10">
        <v>1.5</v>
      </c>
      <c r="J384" s="92">
        <v>36</v>
      </c>
      <c r="K384" s="10">
        <v>17</v>
      </c>
      <c r="L384" s="97">
        <v>1.5</v>
      </c>
      <c r="M384" s="100">
        <v>29</v>
      </c>
      <c r="N384" s="9">
        <v>14</v>
      </c>
      <c r="O384" s="10">
        <v>1</v>
      </c>
      <c r="P384" s="8">
        <v>28</v>
      </c>
      <c r="Q384" s="9">
        <v>15</v>
      </c>
      <c r="R384" s="10">
        <v>1</v>
      </c>
      <c r="S384" s="91">
        <f t="shared" si="136"/>
        <v>126</v>
      </c>
      <c r="T384" s="17">
        <f t="shared" si="137"/>
        <v>64</v>
      </c>
      <c r="U384" s="12">
        <v>3</v>
      </c>
      <c r="V384" s="35">
        <v>2</v>
      </c>
      <c r="W384" s="93">
        <f>I384+L384+O384+R384</f>
        <v>5</v>
      </c>
    </row>
    <row r="385" spans="1:23" ht="30" customHeight="1" x14ac:dyDescent="0.25">
      <c r="A385" s="158" t="s">
        <v>153</v>
      </c>
      <c r="B385" s="39">
        <v>77</v>
      </c>
      <c r="C385" s="11" t="s">
        <v>59</v>
      </c>
      <c r="D385" s="113" t="s">
        <v>191</v>
      </c>
      <c r="E385" s="11" t="s">
        <v>20</v>
      </c>
      <c r="F385" s="145" t="s">
        <v>105</v>
      </c>
      <c r="G385" s="146">
        <v>56</v>
      </c>
      <c r="H385" s="145">
        <v>25</v>
      </c>
      <c r="I385" s="155">
        <v>2</v>
      </c>
      <c r="J385" s="154">
        <v>46</v>
      </c>
      <c r="K385" s="155">
        <v>21</v>
      </c>
      <c r="L385" s="155">
        <v>2</v>
      </c>
      <c r="M385" s="146">
        <v>57</v>
      </c>
      <c r="N385" s="145">
        <v>28</v>
      </c>
      <c r="O385" s="155">
        <v>2</v>
      </c>
      <c r="P385" s="146">
        <v>52</v>
      </c>
      <c r="Q385" s="145">
        <v>27</v>
      </c>
      <c r="R385" s="155">
        <v>2</v>
      </c>
      <c r="S385" s="98">
        <f t="shared" si="136"/>
        <v>211</v>
      </c>
      <c r="T385" s="78">
        <f t="shared" si="137"/>
        <v>101</v>
      </c>
      <c r="U385" s="79">
        <v>9</v>
      </c>
      <c r="V385" s="22">
        <v>3</v>
      </c>
      <c r="W385" s="80">
        <f>I385+L385+O385+R385</f>
        <v>8</v>
      </c>
    </row>
    <row r="386" spans="1:23" ht="30" customHeight="1" x14ac:dyDescent="0.25">
      <c r="A386" s="50" t="s">
        <v>153</v>
      </c>
      <c r="B386" s="51">
        <v>77</v>
      </c>
      <c r="C386" s="48" t="s">
        <v>59</v>
      </c>
      <c r="D386" s="113" t="s">
        <v>192</v>
      </c>
      <c r="E386" s="11" t="s">
        <v>40</v>
      </c>
      <c r="F386" s="145" t="s">
        <v>107</v>
      </c>
      <c r="G386" s="8">
        <v>52</v>
      </c>
      <c r="H386" s="9">
        <v>24</v>
      </c>
      <c r="I386" s="10">
        <v>2</v>
      </c>
      <c r="J386" s="92">
        <v>49</v>
      </c>
      <c r="K386" s="10">
        <v>15</v>
      </c>
      <c r="L386" s="10">
        <v>2</v>
      </c>
      <c r="M386" s="8">
        <v>47</v>
      </c>
      <c r="N386" s="9">
        <v>27</v>
      </c>
      <c r="O386" s="10">
        <v>2</v>
      </c>
      <c r="P386" s="8">
        <v>46</v>
      </c>
      <c r="Q386" s="9">
        <v>24</v>
      </c>
      <c r="R386" s="10">
        <v>2</v>
      </c>
      <c r="S386" s="91">
        <f t="shared" si="136"/>
        <v>194</v>
      </c>
      <c r="T386" s="17">
        <f t="shared" si="137"/>
        <v>90</v>
      </c>
      <c r="U386" s="12">
        <v>37</v>
      </c>
      <c r="V386" s="16">
        <v>18</v>
      </c>
      <c r="W386" s="93">
        <f>I386+L386+O386+R386</f>
        <v>8</v>
      </c>
    </row>
    <row r="387" spans="1:23" ht="30" customHeight="1" thickBot="1" x14ac:dyDescent="0.3">
      <c r="A387" s="36" t="s">
        <v>153</v>
      </c>
      <c r="B387" s="351" t="s">
        <v>97</v>
      </c>
      <c r="C387" s="352"/>
      <c r="D387" s="352"/>
      <c r="E387" s="352"/>
      <c r="F387" s="353"/>
      <c r="G387" s="40">
        <f t="shared" ref="G387:H387" si="160">SUM(G382:G386)</f>
        <v>219</v>
      </c>
      <c r="H387" s="64">
        <f t="shared" si="160"/>
        <v>101</v>
      </c>
      <c r="I387" s="81">
        <f t="shared" ref="I387:W387" si="161">SUM(I382:I386)</f>
        <v>8.5</v>
      </c>
      <c r="J387" s="27">
        <v>222</v>
      </c>
      <c r="K387" s="81">
        <v>101</v>
      </c>
      <c r="L387" s="109">
        <f t="shared" si="161"/>
        <v>8.5</v>
      </c>
      <c r="M387" s="26">
        <f t="shared" si="161"/>
        <v>221</v>
      </c>
      <c r="N387" s="64">
        <f t="shared" si="161"/>
        <v>107</v>
      </c>
      <c r="O387" s="81">
        <f t="shared" si="161"/>
        <v>8</v>
      </c>
      <c r="P387" s="26">
        <f t="shared" si="161"/>
        <v>189</v>
      </c>
      <c r="Q387" s="64">
        <f t="shared" si="161"/>
        <v>96</v>
      </c>
      <c r="R387" s="81">
        <f t="shared" si="161"/>
        <v>8</v>
      </c>
      <c r="S387" s="42">
        <f t="shared" si="136"/>
        <v>851</v>
      </c>
      <c r="T387" s="95">
        <f t="shared" si="137"/>
        <v>405</v>
      </c>
      <c r="U387" s="25">
        <f t="shared" si="161"/>
        <v>62</v>
      </c>
      <c r="V387" s="84">
        <f t="shared" si="161"/>
        <v>28</v>
      </c>
      <c r="W387" s="85">
        <f t="shared" si="161"/>
        <v>33</v>
      </c>
    </row>
    <row r="388" spans="1:23" ht="30" customHeight="1" x14ac:dyDescent="0.25">
      <c r="A388" s="155" t="s">
        <v>153</v>
      </c>
      <c r="B388" s="39">
        <v>82</v>
      </c>
      <c r="C388" s="11" t="s">
        <v>58</v>
      </c>
      <c r="D388" s="113" t="s">
        <v>193</v>
      </c>
      <c r="E388" s="11" t="s">
        <v>19</v>
      </c>
      <c r="F388" s="145" t="s">
        <v>105</v>
      </c>
      <c r="G388" s="146">
        <v>97</v>
      </c>
      <c r="H388" s="145">
        <v>52</v>
      </c>
      <c r="I388" s="155">
        <v>4</v>
      </c>
      <c r="J388" s="154">
        <v>92</v>
      </c>
      <c r="K388" s="155">
        <v>51</v>
      </c>
      <c r="L388" s="155">
        <v>4</v>
      </c>
      <c r="M388" s="146">
        <v>75</v>
      </c>
      <c r="N388" s="145">
        <v>45</v>
      </c>
      <c r="O388" s="155">
        <v>3</v>
      </c>
      <c r="P388" s="146">
        <v>93</v>
      </c>
      <c r="Q388" s="145">
        <v>42</v>
      </c>
      <c r="R388" s="155">
        <v>4</v>
      </c>
      <c r="S388" s="98">
        <f t="shared" si="136"/>
        <v>357</v>
      </c>
      <c r="T388" s="78">
        <f t="shared" si="137"/>
        <v>190</v>
      </c>
      <c r="U388" s="79">
        <v>46</v>
      </c>
      <c r="V388" s="22">
        <v>18</v>
      </c>
      <c r="W388" s="80">
        <f>I388+L388+O388+R388</f>
        <v>15</v>
      </c>
    </row>
    <row r="389" spans="1:23" ht="30" customHeight="1" x14ac:dyDescent="0.25">
      <c r="A389" s="155" t="s">
        <v>153</v>
      </c>
      <c r="B389" s="164">
        <v>86</v>
      </c>
      <c r="C389" s="11" t="s">
        <v>49</v>
      </c>
      <c r="D389" s="285" t="s">
        <v>194</v>
      </c>
      <c r="E389" s="52" t="s">
        <v>11</v>
      </c>
      <c r="F389" s="153" t="s">
        <v>105</v>
      </c>
      <c r="G389" s="151">
        <v>29</v>
      </c>
      <c r="H389" s="153">
        <v>18</v>
      </c>
      <c r="I389" s="147">
        <v>1</v>
      </c>
      <c r="J389" s="286">
        <v>54</v>
      </c>
      <c r="K389" s="147">
        <v>22</v>
      </c>
      <c r="L389" s="147">
        <v>2</v>
      </c>
      <c r="M389" s="151">
        <v>45</v>
      </c>
      <c r="N389" s="153">
        <v>22</v>
      </c>
      <c r="O389" s="147">
        <v>2</v>
      </c>
      <c r="P389" s="151">
        <v>25</v>
      </c>
      <c r="Q389" s="153">
        <v>15</v>
      </c>
      <c r="R389" s="147">
        <v>1</v>
      </c>
      <c r="S389" s="98">
        <f t="shared" si="136"/>
        <v>153</v>
      </c>
      <c r="T389" s="78">
        <f t="shared" si="137"/>
        <v>77</v>
      </c>
      <c r="U389" s="101">
        <v>30</v>
      </c>
      <c r="V389" s="53">
        <v>13</v>
      </c>
      <c r="W389" s="80">
        <f>I389+L389+O389+R389</f>
        <v>6</v>
      </c>
    </row>
    <row r="390" spans="1:23" ht="30" customHeight="1" x14ac:dyDescent="0.25">
      <c r="A390" s="10" t="s">
        <v>153</v>
      </c>
      <c r="B390" s="47">
        <v>86</v>
      </c>
      <c r="C390" s="48" t="s">
        <v>49</v>
      </c>
      <c r="D390" s="113" t="s">
        <v>195</v>
      </c>
      <c r="E390" s="54" t="s">
        <v>37</v>
      </c>
      <c r="F390" s="145" t="s">
        <v>107</v>
      </c>
      <c r="G390" s="8">
        <v>50</v>
      </c>
      <c r="H390" s="9">
        <v>28</v>
      </c>
      <c r="I390" s="10">
        <v>2</v>
      </c>
      <c r="J390" s="92">
        <v>51</v>
      </c>
      <c r="K390" s="10">
        <v>24</v>
      </c>
      <c r="L390" s="10">
        <v>2</v>
      </c>
      <c r="M390" s="8">
        <v>36</v>
      </c>
      <c r="N390" s="9">
        <v>23</v>
      </c>
      <c r="O390" s="10">
        <v>2</v>
      </c>
      <c r="P390" s="8">
        <v>66</v>
      </c>
      <c r="Q390" s="9">
        <v>33</v>
      </c>
      <c r="R390" s="10">
        <v>3</v>
      </c>
      <c r="S390" s="91">
        <f t="shared" si="136"/>
        <v>203</v>
      </c>
      <c r="T390" s="17">
        <f t="shared" si="137"/>
        <v>108</v>
      </c>
      <c r="U390" s="12">
        <v>43</v>
      </c>
      <c r="V390" s="16">
        <v>23</v>
      </c>
      <c r="W390" s="93">
        <f>I390+L390+O390+R390</f>
        <v>9</v>
      </c>
    </row>
    <row r="391" spans="1:23" ht="30" customHeight="1" x14ac:dyDescent="0.25">
      <c r="A391" s="55" t="s">
        <v>153</v>
      </c>
      <c r="B391" s="160">
        <v>87</v>
      </c>
      <c r="C391" s="11" t="s">
        <v>68</v>
      </c>
      <c r="D391" s="285" t="s">
        <v>196</v>
      </c>
      <c r="E391" s="52" t="s">
        <v>132</v>
      </c>
      <c r="F391" s="153" t="s">
        <v>105</v>
      </c>
      <c r="G391" s="151">
        <v>103</v>
      </c>
      <c r="H391" s="153">
        <v>53</v>
      </c>
      <c r="I391" s="147">
        <v>4</v>
      </c>
      <c r="J391" s="286">
        <v>105</v>
      </c>
      <c r="K391" s="147">
        <v>49</v>
      </c>
      <c r="L391" s="147">
        <v>4</v>
      </c>
      <c r="M391" s="151">
        <v>98</v>
      </c>
      <c r="N391" s="153">
        <v>46</v>
      </c>
      <c r="O391" s="147">
        <v>4</v>
      </c>
      <c r="P391" s="151">
        <v>103</v>
      </c>
      <c r="Q391" s="153">
        <v>46</v>
      </c>
      <c r="R391" s="147">
        <v>4</v>
      </c>
      <c r="S391" s="98">
        <f t="shared" si="136"/>
        <v>409</v>
      </c>
      <c r="T391" s="78">
        <f t="shared" si="137"/>
        <v>194</v>
      </c>
      <c r="U391" s="101">
        <v>41</v>
      </c>
      <c r="V391" s="53">
        <v>22</v>
      </c>
      <c r="W391" s="80">
        <f>I391+L391+O391+R391</f>
        <v>16</v>
      </c>
    </row>
    <row r="392" spans="1:23" ht="30" customHeight="1" thickBot="1" x14ac:dyDescent="0.3">
      <c r="A392" s="36" t="s">
        <v>153</v>
      </c>
      <c r="B392" s="357" t="s">
        <v>99</v>
      </c>
      <c r="C392" s="358"/>
      <c r="D392" s="358"/>
      <c r="E392" s="358"/>
      <c r="F392" s="359"/>
      <c r="G392" s="40">
        <f t="shared" ref="G392:H392" si="162">SUM(G388:G391)</f>
        <v>279</v>
      </c>
      <c r="H392" s="64">
        <f t="shared" si="162"/>
        <v>151</v>
      </c>
      <c r="I392" s="81">
        <f t="shared" ref="I392:W392" si="163">SUM(I388:I391)</f>
        <v>11</v>
      </c>
      <c r="J392" s="27">
        <v>302</v>
      </c>
      <c r="K392" s="81">
        <v>146</v>
      </c>
      <c r="L392" s="96">
        <f t="shared" si="163"/>
        <v>12</v>
      </c>
      <c r="M392" s="26">
        <f t="shared" si="163"/>
        <v>254</v>
      </c>
      <c r="N392" s="64">
        <f t="shared" si="163"/>
        <v>136</v>
      </c>
      <c r="O392" s="81">
        <f t="shared" si="163"/>
        <v>11</v>
      </c>
      <c r="P392" s="26">
        <f t="shared" si="163"/>
        <v>287</v>
      </c>
      <c r="Q392" s="64">
        <f t="shared" si="163"/>
        <v>136</v>
      </c>
      <c r="R392" s="81">
        <f t="shared" si="163"/>
        <v>12</v>
      </c>
      <c r="S392" s="42">
        <f t="shared" ref="S392:S455" si="164">G392+J392+M392+P392</f>
        <v>1122</v>
      </c>
      <c r="T392" s="95">
        <f t="shared" ref="T392:T455" si="165">H392+K392+N392+Q392</f>
        <v>569</v>
      </c>
      <c r="U392" s="25">
        <f t="shared" si="163"/>
        <v>160</v>
      </c>
      <c r="V392" s="84">
        <f t="shared" si="163"/>
        <v>76</v>
      </c>
      <c r="W392" s="85">
        <f t="shared" si="163"/>
        <v>46</v>
      </c>
    </row>
    <row r="393" spans="1:23" ht="37.799999999999997" x14ac:dyDescent="0.25">
      <c r="A393" s="290" t="s">
        <v>153</v>
      </c>
      <c r="B393" s="47">
        <v>91</v>
      </c>
      <c r="C393" s="292" t="s">
        <v>81</v>
      </c>
      <c r="D393" s="113" t="s">
        <v>197</v>
      </c>
      <c r="E393" s="293" t="s">
        <v>157</v>
      </c>
      <c r="F393" s="145" t="s">
        <v>107</v>
      </c>
      <c r="G393" s="294"/>
      <c r="H393" s="44"/>
      <c r="I393" s="295"/>
      <c r="J393" s="295"/>
      <c r="K393" s="295"/>
      <c r="L393" s="295"/>
      <c r="M393" s="295"/>
      <c r="N393" s="295"/>
      <c r="O393" s="296"/>
      <c r="P393" s="8">
        <v>32</v>
      </c>
      <c r="Q393" s="9">
        <v>14</v>
      </c>
      <c r="R393" s="10">
        <v>2</v>
      </c>
      <c r="S393" s="91">
        <f t="shared" si="164"/>
        <v>32</v>
      </c>
      <c r="T393" s="17">
        <f t="shared" si="165"/>
        <v>14</v>
      </c>
      <c r="U393" s="12">
        <v>19</v>
      </c>
      <c r="V393" s="16">
        <v>7</v>
      </c>
      <c r="W393" s="93">
        <f>I393+L393+O393+R393</f>
        <v>2</v>
      </c>
    </row>
    <row r="394" spans="1:23" ht="30" customHeight="1" x14ac:dyDescent="0.25">
      <c r="A394" s="155" t="s">
        <v>153</v>
      </c>
      <c r="B394" s="164">
        <v>95</v>
      </c>
      <c r="C394" s="52" t="s">
        <v>62</v>
      </c>
      <c r="D394" s="285" t="s">
        <v>198</v>
      </c>
      <c r="E394" s="52" t="s">
        <v>22</v>
      </c>
      <c r="F394" s="153" t="s">
        <v>105</v>
      </c>
      <c r="G394" s="151">
        <v>55</v>
      </c>
      <c r="H394" s="153">
        <v>25</v>
      </c>
      <c r="I394" s="147">
        <v>2</v>
      </c>
      <c r="J394" s="286">
        <v>51</v>
      </c>
      <c r="K394" s="147">
        <v>24</v>
      </c>
      <c r="L394" s="147">
        <v>2</v>
      </c>
      <c r="M394" s="151">
        <v>39</v>
      </c>
      <c r="N394" s="153">
        <v>18</v>
      </c>
      <c r="O394" s="147">
        <v>2</v>
      </c>
      <c r="P394" s="151">
        <v>39</v>
      </c>
      <c r="Q394" s="153">
        <v>22</v>
      </c>
      <c r="R394" s="147">
        <v>2</v>
      </c>
      <c r="S394" s="98">
        <f t="shared" si="164"/>
        <v>184</v>
      </c>
      <c r="T394" s="78">
        <f t="shared" si="165"/>
        <v>89</v>
      </c>
      <c r="U394" s="101">
        <v>21</v>
      </c>
      <c r="V394" s="53">
        <v>11</v>
      </c>
      <c r="W394" s="80">
        <f>I394+L394+O394+R394</f>
        <v>8</v>
      </c>
    </row>
    <row r="395" spans="1:23" ht="30" customHeight="1" x14ac:dyDescent="0.25">
      <c r="A395" s="55" t="s">
        <v>153</v>
      </c>
      <c r="B395" s="39">
        <v>96</v>
      </c>
      <c r="C395" s="11" t="s">
        <v>51</v>
      </c>
      <c r="D395" s="113" t="s">
        <v>199</v>
      </c>
      <c r="E395" s="11" t="s">
        <v>13</v>
      </c>
      <c r="F395" s="145" t="s">
        <v>105</v>
      </c>
      <c r="G395" s="146">
        <v>40</v>
      </c>
      <c r="H395" s="145">
        <v>14</v>
      </c>
      <c r="I395" s="155">
        <v>2</v>
      </c>
      <c r="J395" s="154">
        <v>29</v>
      </c>
      <c r="K395" s="155">
        <v>13</v>
      </c>
      <c r="L395" s="155">
        <v>1</v>
      </c>
      <c r="M395" s="146">
        <v>28</v>
      </c>
      <c r="N395" s="145">
        <v>14</v>
      </c>
      <c r="O395" s="155">
        <v>1</v>
      </c>
      <c r="P395" s="146">
        <v>49</v>
      </c>
      <c r="Q395" s="145">
        <v>28</v>
      </c>
      <c r="R395" s="155">
        <v>2</v>
      </c>
      <c r="S395" s="98">
        <f t="shared" si="164"/>
        <v>146</v>
      </c>
      <c r="T395" s="78">
        <f t="shared" si="165"/>
        <v>69</v>
      </c>
      <c r="U395" s="79">
        <v>19</v>
      </c>
      <c r="V395" s="22">
        <v>11</v>
      </c>
      <c r="W395" s="80">
        <f>I395+L395+O395+R395</f>
        <v>6</v>
      </c>
    </row>
    <row r="396" spans="1:23" ht="30" customHeight="1" x14ac:dyDescent="0.25">
      <c r="A396" s="10" t="s">
        <v>153</v>
      </c>
      <c r="B396" s="47">
        <v>96</v>
      </c>
      <c r="C396" s="48" t="s">
        <v>51</v>
      </c>
      <c r="D396" s="113" t="s">
        <v>200</v>
      </c>
      <c r="E396" s="11" t="s">
        <v>42</v>
      </c>
      <c r="F396" s="153" t="s">
        <v>107</v>
      </c>
      <c r="G396" s="102">
        <v>48</v>
      </c>
      <c r="H396" s="103">
        <v>20</v>
      </c>
      <c r="I396" s="104">
        <v>2</v>
      </c>
      <c r="J396" s="287">
        <v>58</v>
      </c>
      <c r="K396" s="104">
        <v>30</v>
      </c>
      <c r="L396" s="104">
        <v>2</v>
      </c>
      <c r="M396" s="102">
        <v>57</v>
      </c>
      <c r="N396" s="103">
        <v>37</v>
      </c>
      <c r="O396" s="104">
        <v>2</v>
      </c>
      <c r="P396" s="102">
        <v>50</v>
      </c>
      <c r="Q396" s="103">
        <v>23</v>
      </c>
      <c r="R396" s="104">
        <v>2</v>
      </c>
      <c r="S396" s="91">
        <f t="shared" si="164"/>
        <v>213</v>
      </c>
      <c r="T396" s="17">
        <f t="shared" si="165"/>
        <v>110</v>
      </c>
      <c r="U396" s="105">
        <v>23</v>
      </c>
      <c r="V396" s="56">
        <v>10</v>
      </c>
      <c r="W396" s="93">
        <f>I396+L396+O396+R396</f>
        <v>8</v>
      </c>
    </row>
    <row r="397" spans="1:23" ht="30" customHeight="1" x14ac:dyDescent="0.25">
      <c r="A397" s="55" t="s">
        <v>153</v>
      </c>
      <c r="B397" s="39">
        <v>97</v>
      </c>
      <c r="C397" s="11" t="s">
        <v>61</v>
      </c>
      <c r="D397" s="113" t="s">
        <v>201</v>
      </c>
      <c r="E397" s="11" t="s">
        <v>138</v>
      </c>
      <c r="F397" s="145" t="s">
        <v>105</v>
      </c>
      <c r="G397" s="146">
        <v>105</v>
      </c>
      <c r="H397" s="145">
        <v>46</v>
      </c>
      <c r="I397" s="155">
        <v>4</v>
      </c>
      <c r="J397" s="154">
        <v>94</v>
      </c>
      <c r="K397" s="155">
        <v>44</v>
      </c>
      <c r="L397" s="155">
        <v>4</v>
      </c>
      <c r="M397" s="146">
        <v>103</v>
      </c>
      <c r="N397" s="145">
        <v>45</v>
      </c>
      <c r="O397" s="155">
        <v>4</v>
      </c>
      <c r="P397" s="146">
        <v>99</v>
      </c>
      <c r="Q397" s="145">
        <v>54</v>
      </c>
      <c r="R397" s="155">
        <v>4</v>
      </c>
      <c r="S397" s="98">
        <f t="shared" si="164"/>
        <v>401</v>
      </c>
      <c r="T397" s="78">
        <f t="shared" si="165"/>
        <v>189</v>
      </c>
      <c r="U397" s="79">
        <v>17</v>
      </c>
      <c r="V397" s="22">
        <v>5</v>
      </c>
      <c r="W397" s="80">
        <f>I397+L397+O397+R397</f>
        <v>16</v>
      </c>
    </row>
    <row r="398" spans="1:23" ht="30" customHeight="1" x14ac:dyDescent="0.25">
      <c r="A398" s="155" t="s">
        <v>153</v>
      </c>
      <c r="B398" s="39">
        <v>98</v>
      </c>
      <c r="C398" s="11" t="s">
        <v>52</v>
      </c>
      <c r="D398" s="113" t="s">
        <v>202</v>
      </c>
      <c r="E398" s="11" t="s">
        <v>14</v>
      </c>
      <c r="F398" s="145" t="s">
        <v>105</v>
      </c>
      <c r="G398" s="146">
        <v>60</v>
      </c>
      <c r="H398" s="145">
        <v>35</v>
      </c>
      <c r="I398" s="155">
        <v>3</v>
      </c>
      <c r="J398" s="154">
        <v>68</v>
      </c>
      <c r="K398" s="155">
        <v>28</v>
      </c>
      <c r="L398" s="155">
        <v>3</v>
      </c>
      <c r="M398" s="146">
        <v>65</v>
      </c>
      <c r="N398" s="152">
        <v>26</v>
      </c>
      <c r="O398" s="149">
        <v>3</v>
      </c>
      <c r="P398" s="146">
        <v>70</v>
      </c>
      <c r="Q398" s="145">
        <v>33</v>
      </c>
      <c r="R398" s="155">
        <v>3</v>
      </c>
      <c r="S398" s="98">
        <f t="shared" si="164"/>
        <v>263</v>
      </c>
      <c r="T398" s="78">
        <f t="shared" si="165"/>
        <v>122</v>
      </c>
      <c r="U398" s="79">
        <v>15</v>
      </c>
      <c r="V398" s="22">
        <v>5</v>
      </c>
      <c r="W398" s="80">
        <f>I398+L398+O398+R398</f>
        <v>12</v>
      </c>
    </row>
    <row r="399" spans="1:23" ht="30" customHeight="1" x14ac:dyDescent="0.25">
      <c r="A399" s="156" t="s">
        <v>153</v>
      </c>
      <c r="B399" s="39">
        <v>98</v>
      </c>
      <c r="C399" s="57" t="s">
        <v>52</v>
      </c>
      <c r="D399" s="288" t="s">
        <v>203</v>
      </c>
      <c r="E399" s="11" t="s">
        <v>16</v>
      </c>
      <c r="F399" s="145" t="s">
        <v>105</v>
      </c>
      <c r="G399" s="146">
        <v>20</v>
      </c>
      <c r="H399" s="145">
        <v>13</v>
      </c>
      <c r="I399" s="155">
        <v>1</v>
      </c>
      <c r="J399" s="154">
        <v>26</v>
      </c>
      <c r="K399" s="155">
        <v>10</v>
      </c>
      <c r="L399" s="155">
        <v>1</v>
      </c>
      <c r="M399" s="146">
        <v>26</v>
      </c>
      <c r="N399" s="145">
        <v>10</v>
      </c>
      <c r="O399" s="155">
        <v>1</v>
      </c>
      <c r="P399" s="146">
        <v>21</v>
      </c>
      <c r="Q399" s="145">
        <v>12</v>
      </c>
      <c r="R399" s="155">
        <v>1</v>
      </c>
      <c r="S399" s="98">
        <f t="shared" si="164"/>
        <v>93</v>
      </c>
      <c r="T399" s="78">
        <f t="shared" si="165"/>
        <v>45</v>
      </c>
      <c r="U399" s="79">
        <v>4</v>
      </c>
      <c r="V399" s="22">
        <v>2</v>
      </c>
      <c r="W399" s="80">
        <f>I399+L399+O399+R399</f>
        <v>4</v>
      </c>
    </row>
    <row r="400" spans="1:23" ht="30" customHeight="1" thickBot="1" x14ac:dyDescent="0.3">
      <c r="A400" s="149" t="s">
        <v>153</v>
      </c>
      <c r="B400" s="351" t="s">
        <v>100</v>
      </c>
      <c r="C400" s="352"/>
      <c r="D400" s="352"/>
      <c r="E400" s="352"/>
      <c r="F400" s="353"/>
      <c r="G400" s="40">
        <f t="shared" ref="G400:H400" si="166">SUM(G393:G399)</f>
        <v>328</v>
      </c>
      <c r="H400" s="64">
        <f t="shared" si="166"/>
        <v>153</v>
      </c>
      <c r="I400" s="81">
        <f t="shared" ref="I400:W400" si="167">SUM(I393:I399)</f>
        <v>14</v>
      </c>
      <c r="J400" s="27">
        <v>326</v>
      </c>
      <c r="K400" s="81">
        <v>149</v>
      </c>
      <c r="L400" s="96">
        <f t="shared" si="167"/>
        <v>13</v>
      </c>
      <c r="M400" s="26">
        <f t="shared" si="167"/>
        <v>318</v>
      </c>
      <c r="N400" s="64">
        <f t="shared" si="167"/>
        <v>150</v>
      </c>
      <c r="O400" s="81">
        <f t="shared" si="167"/>
        <v>13</v>
      </c>
      <c r="P400" s="26">
        <f t="shared" si="167"/>
        <v>360</v>
      </c>
      <c r="Q400" s="64">
        <f t="shared" si="167"/>
        <v>186</v>
      </c>
      <c r="R400" s="81">
        <f t="shared" si="167"/>
        <v>16</v>
      </c>
      <c r="S400" s="42">
        <f t="shared" si="164"/>
        <v>1332</v>
      </c>
      <c r="T400" s="95">
        <f t="shared" si="165"/>
        <v>638</v>
      </c>
      <c r="U400" s="25">
        <f t="shared" si="167"/>
        <v>118</v>
      </c>
      <c r="V400" s="84">
        <f t="shared" si="167"/>
        <v>51</v>
      </c>
      <c r="W400" s="85">
        <f t="shared" si="167"/>
        <v>56</v>
      </c>
    </row>
    <row r="401" spans="1:23" ht="30" customHeight="1" thickBot="1" x14ac:dyDescent="0.3">
      <c r="A401" s="58" t="s">
        <v>153</v>
      </c>
      <c r="B401" s="348" t="s">
        <v>102</v>
      </c>
      <c r="C401" s="349"/>
      <c r="D401" s="349"/>
      <c r="E401" s="349"/>
      <c r="F401" s="350"/>
      <c r="G401" s="40">
        <f t="shared" ref="G401:H401" si="168">G365+G374+G381+G387+G392+G400</f>
        <v>2441</v>
      </c>
      <c r="H401" s="40">
        <f t="shared" si="168"/>
        <v>1216</v>
      </c>
      <c r="I401" s="106">
        <f t="shared" ref="I401:W401" si="169">I365+I374+I381+I387+I392+I400</f>
        <v>101.75</v>
      </c>
      <c r="J401" s="40">
        <v>2650</v>
      </c>
      <c r="K401" s="40">
        <v>1266</v>
      </c>
      <c r="L401" s="107">
        <f t="shared" si="169"/>
        <v>103.75</v>
      </c>
      <c r="M401" s="40">
        <f t="shared" si="169"/>
        <v>2377</v>
      </c>
      <c r="N401" s="40">
        <f t="shared" si="169"/>
        <v>1159</v>
      </c>
      <c r="O401" s="107">
        <f t="shared" si="169"/>
        <v>100.75</v>
      </c>
      <c r="P401" s="40">
        <f t="shared" si="169"/>
        <v>2354</v>
      </c>
      <c r="Q401" s="40">
        <f t="shared" si="169"/>
        <v>1160</v>
      </c>
      <c r="R401" s="107">
        <f t="shared" si="169"/>
        <v>105.75</v>
      </c>
      <c r="S401" s="42">
        <f t="shared" si="164"/>
        <v>9822</v>
      </c>
      <c r="T401" s="40">
        <f t="shared" si="165"/>
        <v>4801</v>
      </c>
      <c r="U401" s="40">
        <f t="shared" si="169"/>
        <v>1159</v>
      </c>
      <c r="V401" s="42">
        <f t="shared" si="169"/>
        <v>557</v>
      </c>
      <c r="W401" s="41">
        <f t="shared" si="169"/>
        <v>412</v>
      </c>
    </row>
    <row r="402" spans="1:23" ht="35.4" x14ac:dyDescent="0.25">
      <c r="A402" s="158" t="s">
        <v>204</v>
      </c>
      <c r="B402" s="162">
        <v>11</v>
      </c>
      <c r="C402" s="15" t="s">
        <v>48</v>
      </c>
      <c r="D402" s="278" t="s">
        <v>159</v>
      </c>
      <c r="E402" s="15" t="s">
        <v>205</v>
      </c>
      <c r="F402" s="158" t="s">
        <v>105</v>
      </c>
      <c r="G402" s="71">
        <f>29+6</f>
        <v>35</v>
      </c>
      <c r="H402" s="72">
        <f>14+2</f>
        <v>16</v>
      </c>
      <c r="I402" s="158">
        <v>1.25</v>
      </c>
      <c r="J402" s="279">
        <v>40</v>
      </c>
      <c r="K402" s="158">
        <v>15</v>
      </c>
      <c r="L402" s="158">
        <v>1.25</v>
      </c>
      <c r="M402" s="71">
        <f>26+2</f>
        <v>28</v>
      </c>
      <c r="N402" s="72">
        <f>17+1</f>
        <v>18</v>
      </c>
      <c r="O402" s="158">
        <v>1.25</v>
      </c>
      <c r="P402" s="71">
        <f>20+7</f>
        <v>27</v>
      </c>
      <c r="Q402" s="72">
        <f>13+3</f>
        <v>16</v>
      </c>
      <c r="R402" s="158">
        <v>1.25</v>
      </c>
      <c r="S402" s="73">
        <f t="shared" si="164"/>
        <v>130</v>
      </c>
      <c r="T402" s="74">
        <f t="shared" si="165"/>
        <v>65</v>
      </c>
      <c r="U402" s="75">
        <v>6</v>
      </c>
      <c r="V402" s="18">
        <v>5</v>
      </c>
      <c r="W402" s="76">
        <f>I402+L402+O402+R402</f>
        <v>5</v>
      </c>
    </row>
    <row r="403" spans="1:23" ht="30" customHeight="1" x14ac:dyDescent="0.25">
      <c r="A403" s="155" t="s">
        <v>204</v>
      </c>
      <c r="B403" s="20">
        <v>15</v>
      </c>
      <c r="C403" s="21" t="s">
        <v>64</v>
      </c>
      <c r="D403" s="280" t="s">
        <v>160</v>
      </c>
      <c r="E403" s="21" t="s">
        <v>24</v>
      </c>
      <c r="F403" s="155" t="s">
        <v>105</v>
      </c>
      <c r="G403" s="146">
        <v>52</v>
      </c>
      <c r="H403" s="145">
        <v>25</v>
      </c>
      <c r="I403" s="155">
        <v>2</v>
      </c>
      <c r="J403" s="154">
        <v>51</v>
      </c>
      <c r="K403" s="155">
        <v>24</v>
      </c>
      <c r="L403" s="155">
        <v>2</v>
      </c>
      <c r="M403" s="146">
        <v>47</v>
      </c>
      <c r="N403" s="145">
        <v>29</v>
      </c>
      <c r="O403" s="155">
        <v>2</v>
      </c>
      <c r="P403" s="146">
        <v>45</v>
      </c>
      <c r="Q403" s="145">
        <v>21</v>
      </c>
      <c r="R403" s="155">
        <v>2</v>
      </c>
      <c r="S403" s="77">
        <f t="shared" si="164"/>
        <v>195</v>
      </c>
      <c r="T403" s="78">
        <f t="shared" si="165"/>
        <v>99</v>
      </c>
      <c r="U403" s="79">
        <v>30</v>
      </c>
      <c r="V403" s="23">
        <v>13</v>
      </c>
      <c r="W403" s="80">
        <f>I403+L403+O403+R403</f>
        <v>8</v>
      </c>
    </row>
    <row r="404" spans="1:23" ht="30" customHeight="1" thickBot="1" x14ac:dyDescent="0.3">
      <c r="A404" s="36" t="s">
        <v>204</v>
      </c>
      <c r="B404" s="351" t="s">
        <v>92</v>
      </c>
      <c r="C404" s="352"/>
      <c r="D404" s="352"/>
      <c r="E404" s="352"/>
      <c r="F404" s="353"/>
      <c r="G404" s="26">
        <f t="shared" ref="G404:H404" si="170">SUM(G402:G403)</f>
        <v>87</v>
      </c>
      <c r="H404" s="64">
        <f t="shared" si="170"/>
        <v>41</v>
      </c>
      <c r="I404" s="81">
        <f t="shared" ref="I404:W404" si="171">SUM(I402:I403)</f>
        <v>3.25</v>
      </c>
      <c r="J404" s="27">
        <v>91</v>
      </c>
      <c r="K404" s="81">
        <v>39</v>
      </c>
      <c r="L404" s="81">
        <f t="shared" si="171"/>
        <v>3.25</v>
      </c>
      <c r="M404" s="26">
        <f t="shared" si="171"/>
        <v>75</v>
      </c>
      <c r="N404" s="64">
        <f t="shared" si="171"/>
        <v>47</v>
      </c>
      <c r="O404" s="81">
        <f t="shared" si="171"/>
        <v>3.25</v>
      </c>
      <c r="P404" s="26">
        <f t="shared" si="171"/>
        <v>72</v>
      </c>
      <c r="Q404" s="64">
        <f t="shared" si="171"/>
        <v>37</v>
      </c>
      <c r="R404" s="81">
        <f t="shared" si="171"/>
        <v>3.25</v>
      </c>
      <c r="S404" s="82">
        <f t="shared" si="164"/>
        <v>325</v>
      </c>
      <c r="T404" s="83">
        <f t="shared" si="165"/>
        <v>164</v>
      </c>
      <c r="U404" s="25">
        <f t="shared" si="171"/>
        <v>36</v>
      </c>
      <c r="V404" s="84">
        <f t="shared" si="171"/>
        <v>18</v>
      </c>
      <c r="W404" s="85">
        <f t="shared" si="171"/>
        <v>13</v>
      </c>
    </row>
    <row r="405" spans="1:23" ht="30" customHeight="1" x14ac:dyDescent="0.25">
      <c r="A405" s="29" t="s">
        <v>204</v>
      </c>
      <c r="B405" s="30">
        <v>22</v>
      </c>
      <c r="C405" s="31" t="s">
        <v>75</v>
      </c>
      <c r="D405" s="281" t="s">
        <v>166</v>
      </c>
      <c r="E405" s="31" t="s">
        <v>32</v>
      </c>
      <c r="F405" s="29" t="s">
        <v>106</v>
      </c>
      <c r="G405" s="86">
        <v>55</v>
      </c>
      <c r="H405" s="87">
        <v>30</v>
      </c>
      <c r="I405" s="29">
        <v>2</v>
      </c>
      <c r="J405" s="88">
        <v>47</v>
      </c>
      <c r="K405" s="29">
        <v>29</v>
      </c>
      <c r="L405" s="29">
        <v>2</v>
      </c>
      <c r="M405" s="86">
        <v>48</v>
      </c>
      <c r="N405" s="87">
        <v>22</v>
      </c>
      <c r="O405" s="29">
        <v>2</v>
      </c>
      <c r="P405" s="86">
        <v>36</v>
      </c>
      <c r="Q405" s="87">
        <v>12</v>
      </c>
      <c r="R405" s="29">
        <v>2</v>
      </c>
      <c r="S405" s="88">
        <f t="shared" si="164"/>
        <v>186</v>
      </c>
      <c r="T405" s="87">
        <f t="shared" si="165"/>
        <v>93</v>
      </c>
      <c r="U405" s="89">
        <v>14</v>
      </c>
      <c r="V405" s="32">
        <v>8</v>
      </c>
      <c r="W405" s="90">
        <f>I405+L405+O405+R405</f>
        <v>8</v>
      </c>
    </row>
    <row r="406" spans="1:23" ht="30" customHeight="1" x14ac:dyDescent="0.25">
      <c r="A406" s="155" t="s">
        <v>204</v>
      </c>
      <c r="B406" s="20">
        <v>24</v>
      </c>
      <c r="C406" s="21" t="s">
        <v>70</v>
      </c>
      <c r="D406" s="280" t="s">
        <v>165</v>
      </c>
      <c r="E406" s="21" t="s">
        <v>156</v>
      </c>
      <c r="F406" s="155" t="s">
        <v>105</v>
      </c>
      <c r="G406" s="146">
        <v>32</v>
      </c>
      <c r="H406" s="145">
        <v>17</v>
      </c>
      <c r="I406" s="155">
        <v>1.5</v>
      </c>
      <c r="J406" s="154">
        <v>37</v>
      </c>
      <c r="K406" s="155">
        <v>18</v>
      </c>
      <c r="L406" s="155">
        <v>1.5</v>
      </c>
      <c r="M406" s="146">
        <v>33</v>
      </c>
      <c r="N406" s="145">
        <v>16</v>
      </c>
      <c r="O406" s="155">
        <v>1.5</v>
      </c>
      <c r="P406" s="146">
        <v>37</v>
      </c>
      <c r="Q406" s="145">
        <v>18</v>
      </c>
      <c r="R406" s="155">
        <v>1.5</v>
      </c>
      <c r="S406" s="77">
        <f t="shared" si="164"/>
        <v>139</v>
      </c>
      <c r="T406" s="78">
        <f t="shared" si="165"/>
        <v>69</v>
      </c>
      <c r="U406" s="79">
        <v>43</v>
      </c>
      <c r="V406" s="23">
        <v>21</v>
      </c>
      <c r="W406" s="80">
        <f>I406+L406+O406+R406</f>
        <v>6</v>
      </c>
    </row>
    <row r="407" spans="1:23" ht="30" customHeight="1" x14ac:dyDescent="0.25">
      <c r="A407" s="10" t="s">
        <v>204</v>
      </c>
      <c r="B407" s="33">
        <v>25</v>
      </c>
      <c r="C407" s="34" t="s">
        <v>74</v>
      </c>
      <c r="D407" s="280" t="s">
        <v>167</v>
      </c>
      <c r="E407" s="21" t="s">
        <v>130</v>
      </c>
      <c r="F407" s="10" t="s">
        <v>106</v>
      </c>
      <c r="G407" s="91">
        <v>56</v>
      </c>
      <c r="H407" s="17">
        <v>28</v>
      </c>
      <c r="I407" s="10">
        <v>2</v>
      </c>
      <c r="J407" s="92">
        <v>55</v>
      </c>
      <c r="K407" s="10">
        <v>34</v>
      </c>
      <c r="L407" s="10">
        <v>2</v>
      </c>
      <c r="M407" s="91">
        <v>57</v>
      </c>
      <c r="N407" s="17">
        <v>28</v>
      </c>
      <c r="O407" s="10">
        <v>2</v>
      </c>
      <c r="P407" s="91">
        <v>55</v>
      </c>
      <c r="Q407" s="17">
        <v>24</v>
      </c>
      <c r="R407" s="10">
        <v>2</v>
      </c>
      <c r="S407" s="92">
        <f t="shared" si="164"/>
        <v>223</v>
      </c>
      <c r="T407" s="17">
        <f t="shared" si="165"/>
        <v>114</v>
      </c>
      <c r="U407" s="12">
        <v>2</v>
      </c>
      <c r="V407" s="35">
        <v>1</v>
      </c>
      <c r="W407" s="93">
        <f>I407+L407+O407+R407</f>
        <v>8</v>
      </c>
    </row>
    <row r="408" spans="1:23" ht="30" customHeight="1" x14ac:dyDescent="0.25">
      <c r="A408" s="155" t="s">
        <v>204</v>
      </c>
      <c r="B408" s="20">
        <v>27</v>
      </c>
      <c r="C408" s="21" t="s">
        <v>60</v>
      </c>
      <c r="D408" s="280" t="s">
        <v>168</v>
      </c>
      <c r="E408" s="21" t="s">
        <v>21</v>
      </c>
      <c r="F408" s="155" t="s">
        <v>105</v>
      </c>
      <c r="G408" s="146">
        <v>51</v>
      </c>
      <c r="H408" s="145">
        <v>28</v>
      </c>
      <c r="I408" s="155">
        <v>2</v>
      </c>
      <c r="J408" s="154">
        <v>57</v>
      </c>
      <c r="K408" s="155">
        <v>26</v>
      </c>
      <c r="L408" s="155">
        <v>2</v>
      </c>
      <c r="M408" s="146">
        <v>57</v>
      </c>
      <c r="N408" s="145">
        <v>24</v>
      </c>
      <c r="O408" s="155">
        <v>2</v>
      </c>
      <c r="P408" s="146">
        <v>56</v>
      </c>
      <c r="Q408" s="145">
        <v>29</v>
      </c>
      <c r="R408" s="155">
        <v>2</v>
      </c>
      <c r="S408" s="77">
        <f t="shared" si="164"/>
        <v>221</v>
      </c>
      <c r="T408" s="78">
        <f t="shared" si="165"/>
        <v>107</v>
      </c>
      <c r="U408" s="79">
        <v>6</v>
      </c>
      <c r="V408" s="23">
        <v>3</v>
      </c>
      <c r="W408" s="80">
        <f>I408+L408+O408+R408</f>
        <v>8</v>
      </c>
    </row>
    <row r="409" spans="1:23" ht="30" customHeight="1" x14ac:dyDescent="0.25">
      <c r="A409" s="10" t="s">
        <v>204</v>
      </c>
      <c r="B409" s="33">
        <v>27</v>
      </c>
      <c r="C409" s="34" t="s">
        <v>60</v>
      </c>
      <c r="D409" s="280" t="s">
        <v>169</v>
      </c>
      <c r="E409" s="34" t="s">
        <v>33</v>
      </c>
      <c r="F409" s="10" t="s">
        <v>106</v>
      </c>
      <c r="G409" s="91">
        <v>30</v>
      </c>
      <c r="H409" s="17">
        <v>13</v>
      </c>
      <c r="I409" s="10">
        <v>1</v>
      </c>
      <c r="J409" s="92">
        <v>51</v>
      </c>
      <c r="K409" s="10">
        <v>32</v>
      </c>
      <c r="L409" s="10">
        <v>2</v>
      </c>
      <c r="M409" s="91">
        <v>52</v>
      </c>
      <c r="N409" s="17">
        <v>23</v>
      </c>
      <c r="O409" s="10">
        <v>2</v>
      </c>
      <c r="P409" s="91">
        <v>43</v>
      </c>
      <c r="Q409" s="17">
        <v>13</v>
      </c>
      <c r="R409" s="10">
        <v>2</v>
      </c>
      <c r="S409" s="92">
        <f t="shared" si="164"/>
        <v>176</v>
      </c>
      <c r="T409" s="17">
        <f t="shared" si="165"/>
        <v>81</v>
      </c>
      <c r="U409" s="12">
        <v>16</v>
      </c>
      <c r="V409" s="35">
        <v>5</v>
      </c>
      <c r="W409" s="93">
        <f>I409+L409+O409+R409</f>
        <v>7</v>
      </c>
    </row>
    <row r="410" spans="1:23" ht="30" customHeight="1" thickBot="1" x14ac:dyDescent="0.3">
      <c r="A410" s="36" t="s">
        <v>204</v>
      </c>
      <c r="B410" s="351" t="s">
        <v>101</v>
      </c>
      <c r="C410" s="352"/>
      <c r="D410" s="352"/>
      <c r="E410" s="352"/>
      <c r="F410" s="353"/>
      <c r="G410" s="26">
        <f t="shared" ref="G410:H410" si="172">SUM(G405:G409)</f>
        <v>224</v>
      </c>
      <c r="H410" s="64">
        <f t="shared" si="172"/>
        <v>116</v>
      </c>
      <c r="I410" s="81">
        <f t="shared" ref="I410:W410" si="173">SUM(I405:I409)</f>
        <v>8.5</v>
      </c>
      <c r="J410" s="27">
        <v>247</v>
      </c>
      <c r="K410" s="81">
        <v>139</v>
      </c>
      <c r="L410" s="81">
        <f t="shared" si="173"/>
        <v>9.5</v>
      </c>
      <c r="M410" s="26">
        <f t="shared" si="173"/>
        <v>247</v>
      </c>
      <c r="N410" s="64">
        <f t="shared" si="173"/>
        <v>113</v>
      </c>
      <c r="O410" s="81">
        <f t="shared" si="173"/>
        <v>9.5</v>
      </c>
      <c r="P410" s="26">
        <f t="shared" si="173"/>
        <v>227</v>
      </c>
      <c r="Q410" s="64">
        <f t="shared" si="173"/>
        <v>96</v>
      </c>
      <c r="R410" s="81">
        <f t="shared" si="173"/>
        <v>9.5</v>
      </c>
      <c r="S410" s="82">
        <f t="shared" si="164"/>
        <v>945</v>
      </c>
      <c r="T410" s="83">
        <f t="shared" si="165"/>
        <v>464</v>
      </c>
      <c r="U410" s="25">
        <f t="shared" si="173"/>
        <v>81</v>
      </c>
      <c r="V410" s="84">
        <f t="shared" si="173"/>
        <v>38</v>
      </c>
      <c r="W410" s="85">
        <f t="shared" si="173"/>
        <v>37</v>
      </c>
    </row>
    <row r="411" spans="1:23" ht="30" customHeight="1" x14ac:dyDescent="0.25">
      <c r="A411" s="10" t="s">
        <v>204</v>
      </c>
      <c r="B411" s="33">
        <v>31</v>
      </c>
      <c r="C411" s="34" t="s">
        <v>79</v>
      </c>
      <c r="D411" s="280" t="s">
        <v>163</v>
      </c>
      <c r="E411" s="21" t="s">
        <v>36</v>
      </c>
      <c r="F411" s="155" t="s">
        <v>107</v>
      </c>
      <c r="G411" s="8">
        <v>45</v>
      </c>
      <c r="H411" s="9">
        <v>18</v>
      </c>
      <c r="I411" s="10">
        <v>2</v>
      </c>
      <c r="J411" s="92">
        <v>46</v>
      </c>
      <c r="K411" s="10">
        <v>25</v>
      </c>
      <c r="L411" s="10">
        <v>2</v>
      </c>
      <c r="M411" s="8">
        <v>41</v>
      </c>
      <c r="N411" s="9">
        <v>19</v>
      </c>
      <c r="O411" s="10">
        <v>2</v>
      </c>
      <c r="P411" s="8">
        <v>36</v>
      </c>
      <c r="Q411" s="9">
        <v>19</v>
      </c>
      <c r="R411" s="10">
        <v>2</v>
      </c>
      <c r="S411" s="92">
        <f t="shared" si="164"/>
        <v>168</v>
      </c>
      <c r="T411" s="17">
        <f t="shared" si="165"/>
        <v>81</v>
      </c>
      <c r="U411" s="12">
        <v>17</v>
      </c>
      <c r="V411" s="35">
        <v>7</v>
      </c>
      <c r="W411" s="93">
        <f>I411+L411+O411+R411</f>
        <v>8</v>
      </c>
    </row>
    <row r="412" spans="1:23" ht="30" customHeight="1" x14ac:dyDescent="0.25">
      <c r="A412" s="10" t="s">
        <v>204</v>
      </c>
      <c r="B412" s="33">
        <v>32</v>
      </c>
      <c r="C412" s="34" t="s">
        <v>85</v>
      </c>
      <c r="D412" s="280" t="s">
        <v>164</v>
      </c>
      <c r="E412" s="21" t="s">
        <v>137</v>
      </c>
      <c r="F412" s="155" t="s">
        <v>107</v>
      </c>
      <c r="G412" s="8">
        <v>45</v>
      </c>
      <c r="H412" s="9">
        <v>17</v>
      </c>
      <c r="I412" s="10">
        <v>2</v>
      </c>
      <c r="J412" s="92">
        <v>52</v>
      </c>
      <c r="K412" s="10">
        <v>21</v>
      </c>
      <c r="L412" s="10">
        <v>2</v>
      </c>
      <c r="M412" s="8">
        <v>68</v>
      </c>
      <c r="N412" s="9">
        <v>32</v>
      </c>
      <c r="O412" s="10">
        <v>3</v>
      </c>
      <c r="P412" s="8">
        <v>60</v>
      </c>
      <c r="Q412" s="9">
        <v>26</v>
      </c>
      <c r="R412" s="10">
        <v>3</v>
      </c>
      <c r="S412" s="92">
        <f t="shared" si="164"/>
        <v>225</v>
      </c>
      <c r="T412" s="17">
        <f t="shared" si="165"/>
        <v>96</v>
      </c>
      <c r="U412" s="12">
        <v>37</v>
      </c>
      <c r="V412" s="35">
        <v>13</v>
      </c>
      <c r="W412" s="93">
        <f>I412+L412+O412+R412</f>
        <v>10</v>
      </c>
    </row>
    <row r="413" spans="1:23" ht="30" customHeight="1" x14ac:dyDescent="0.25">
      <c r="A413" s="155" t="s">
        <v>204</v>
      </c>
      <c r="B413" s="20">
        <v>33</v>
      </c>
      <c r="C413" s="21" t="s">
        <v>57</v>
      </c>
      <c r="D413" s="280" t="s">
        <v>161</v>
      </c>
      <c r="E413" s="21" t="s">
        <v>18</v>
      </c>
      <c r="F413" s="155" t="s">
        <v>105</v>
      </c>
      <c r="G413" s="146">
        <v>36</v>
      </c>
      <c r="H413" s="145">
        <v>17</v>
      </c>
      <c r="I413" s="155">
        <v>2</v>
      </c>
      <c r="J413" s="154">
        <v>36</v>
      </c>
      <c r="K413" s="155">
        <v>16</v>
      </c>
      <c r="L413" s="155">
        <v>2</v>
      </c>
      <c r="M413" s="146">
        <v>46</v>
      </c>
      <c r="N413" s="145">
        <v>20</v>
      </c>
      <c r="O413" s="155">
        <v>2</v>
      </c>
      <c r="P413" s="146">
        <v>50</v>
      </c>
      <c r="Q413" s="145">
        <v>26</v>
      </c>
      <c r="R413" s="155">
        <v>2</v>
      </c>
      <c r="S413" s="77">
        <f t="shared" si="164"/>
        <v>168</v>
      </c>
      <c r="T413" s="78">
        <f t="shared" si="165"/>
        <v>79</v>
      </c>
      <c r="U413" s="79">
        <v>28</v>
      </c>
      <c r="V413" s="23">
        <v>12</v>
      </c>
      <c r="W413" s="80">
        <f>I413+L413+O413+R413</f>
        <v>8</v>
      </c>
    </row>
    <row r="414" spans="1:23" ht="30" customHeight="1" x14ac:dyDescent="0.25">
      <c r="A414" s="155" t="s">
        <v>204</v>
      </c>
      <c r="B414" s="20">
        <v>34</v>
      </c>
      <c r="C414" s="21" t="s">
        <v>54</v>
      </c>
      <c r="D414" s="280" t="s">
        <v>162</v>
      </c>
      <c r="E414" s="21" t="s">
        <v>15</v>
      </c>
      <c r="F414" s="155" t="s">
        <v>105</v>
      </c>
      <c r="G414" s="146">
        <v>59</v>
      </c>
      <c r="H414" s="145">
        <v>34</v>
      </c>
      <c r="I414" s="155">
        <v>3</v>
      </c>
      <c r="J414" s="154">
        <v>71</v>
      </c>
      <c r="K414" s="155">
        <v>34</v>
      </c>
      <c r="L414" s="155">
        <v>3</v>
      </c>
      <c r="M414" s="146">
        <v>55</v>
      </c>
      <c r="N414" s="145">
        <v>28</v>
      </c>
      <c r="O414" s="155">
        <v>2</v>
      </c>
      <c r="P414" s="146">
        <v>78</v>
      </c>
      <c r="Q414" s="145">
        <v>36</v>
      </c>
      <c r="R414" s="155">
        <v>3</v>
      </c>
      <c r="S414" s="77">
        <f t="shared" si="164"/>
        <v>263</v>
      </c>
      <c r="T414" s="78">
        <f t="shared" si="165"/>
        <v>132</v>
      </c>
      <c r="U414" s="79">
        <v>28</v>
      </c>
      <c r="V414" s="23">
        <v>11</v>
      </c>
      <c r="W414" s="80">
        <f>I414+L414+O414+R414</f>
        <v>11</v>
      </c>
    </row>
    <row r="415" spans="1:23" ht="30" customHeight="1" thickBot="1" x14ac:dyDescent="0.3">
      <c r="A415" s="36" t="s">
        <v>204</v>
      </c>
      <c r="B415" s="351" t="s">
        <v>93</v>
      </c>
      <c r="C415" s="352"/>
      <c r="D415" s="352"/>
      <c r="E415" s="352"/>
      <c r="F415" s="353"/>
      <c r="G415" s="40">
        <f t="shared" ref="G415:H415" si="174">SUM(G411:G414)</f>
        <v>185</v>
      </c>
      <c r="H415" s="64">
        <f t="shared" si="174"/>
        <v>86</v>
      </c>
      <c r="I415" s="81">
        <f t="shared" ref="I415:W415" si="175">SUM(I411:I414)</f>
        <v>9</v>
      </c>
      <c r="J415" s="27">
        <v>205</v>
      </c>
      <c r="K415" s="81">
        <v>96</v>
      </c>
      <c r="L415" s="81">
        <f t="shared" si="175"/>
        <v>9</v>
      </c>
      <c r="M415" s="26">
        <f t="shared" si="175"/>
        <v>210</v>
      </c>
      <c r="N415" s="64">
        <f t="shared" si="175"/>
        <v>99</v>
      </c>
      <c r="O415" s="81">
        <f t="shared" si="175"/>
        <v>9</v>
      </c>
      <c r="P415" s="26">
        <f t="shared" si="175"/>
        <v>224</v>
      </c>
      <c r="Q415" s="64">
        <f t="shared" si="175"/>
        <v>107</v>
      </c>
      <c r="R415" s="81">
        <f t="shared" si="175"/>
        <v>10</v>
      </c>
      <c r="S415" s="82">
        <f t="shared" si="164"/>
        <v>824</v>
      </c>
      <c r="T415" s="83">
        <f t="shared" si="165"/>
        <v>388</v>
      </c>
      <c r="U415" s="25">
        <f t="shared" si="175"/>
        <v>110</v>
      </c>
      <c r="V415" s="84">
        <f t="shared" si="175"/>
        <v>43</v>
      </c>
      <c r="W415" s="85">
        <f t="shared" si="175"/>
        <v>37</v>
      </c>
    </row>
    <row r="416" spans="1:23" ht="30" customHeight="1" x14ac:dyDescent="0.25">
      <c r="A416" s="155" t="s">
        <v>204</v>
      </c>
      <c r="B416" s="20">
        <v>45</v>
      </c>
      <c r="C416" s="21" t="s">
        <v>65</v>
      </c>
      <c r="D416" s="280" t="s">
        <v>170</v>
      </c>
      <c r="E416" s="21" t="s">
        <v>25</v>
      </c>
      <c r="F416" s="155" t="s">
        <v>105</v>
      </c>
      <c r="G416" s="146">
        <v>51</v>
      </c>
      <c r="H416" s="145">
        <v>25</v>
      </c>
      <c r="I416" s="155">
        <v>2</v>
      </c>
      <c r="J416" s="154">
        <v>51</v>
      </c>
      <c r="K416" s="155">
        <v>31</v>
      </c>
      <c r="L416" s="155">
        <v>2</v>
      </c>
      <c r="M416" s="146">
        <v>57</v>
      </c>
      <c r="N416" s="145">
        <v>29</v>
      </c>
      <c r="O416" s="155">
        <v>2</v>
      </c>
      <c r="P416" s="146">
        <v>46</v>
      </c>
      <c r="Q416" s="145">
        <v>13</v>
      </c>
      <c r="R416" s="155">
        <v>2</v>
      </c>
      <c r="S416" s="77">
        <f t="shared" si="164"/>
        <v>205</v>
      </c>
      <c r="T416" s="78">
        <f t="shared" si="165"/>
        <v>98</v>
      </c>
      <c r="U416" s="79">
        <v>16</v>
      </c>
      <c r="V416" s="23">
        <v>8</v>
      </c>
      <c r="W416" s="80">
        <f>I416+L416+O416+R416</f>
        <v>8</v>
      </c>
    </row>
    <row r="417" spans="1:23" ht="30" customHeight="1" x14ac:dyDescent="0.25">
      <c r="A417" s="10" t="s">
        <v>204</v>
      </c>
      <c r="B417" s="33">
        <v>45</v>
      </c>
      <c r="C417" s="34" t="s">
        <v>65</v>
      </c>
      <c r="D417" s="280" t="s">
        <v>171</v>
      </c>
      <c r="E417" s="21" t="s">
        <v>43</v>
      </c>
      <c r="F417" s="155" t="s">
        <v>107</v>
      </c>
      <c r="G417" s="8">
        <v>54</v>
      </c>
      <c r="H417" s="9">
        <v>23</v>
      </c>
      <c r="I417" s="10">
        <v>2</v>
      </c>
      <c r="J417" s="92">
        <v>26</v>
      </c>
      <c r="K417" s="10">
        <v>8</v>
      </c>
      <c r="L417" s="10">
        <v>1</v>
      </c>
      <c r="M417" s="8">
        <v>40</v>
      </c>
      <c r="N417" s="17">
        <v>22</v>
      </c>
      <c r="O417" s="10">
        <v>2</v>
      </c>
      <c r="P417" s="8">
        <v>49</v>
      </c>
      <c r="Q417" s="9">
        <v>26</v>
      </c>
      <c r="R417" s="10">
        <v>2</v>
      </c>
      <c r="S417" s="92">
        <f t="shared" si="164"/>
        <v>169</v>
      </c>
      <c r="T417" s="17">
        <f t="shared" si="165"/>
        <v>79</v>
      </c>
      <c r="U417" s="12">
        <v>20</v>
      </c>
      <c r="V417" s="35">
        <v>8</v>
      </c>
      <c r="W417" s="93">
        <f>I417+L417+O417+R417</f>
        <v>7</v>
      </c>
    </row>
    <row r="418" spans="1:23" ht="30" customHeight="1" x14ac:dyDescent="0.25">
      <c r="A418" s="155" t="s">
        <v>204</v>
      </c>
      <c r="B418" s="20">
        <v>46</v>
      </c>
      <c r="C418" s="21" t="s">
        <v>73</v>
      </c>
      <c r="D418" s="280" t="s">
        <v>172</v>
      </c>
      <c r="E418" s="21" t="s">
        <v>30</v>
      </c>
      <c r="F418" s="155" t="s">
        <v>105</v>
      </c>
      <c r="G418" s="146">
        <v>79</v>
      </c>
      <c r="H418" s="145">
        <v>36</v>
      </c>
      <c r="I418" s="155">
        <v>3</v>
      </c>
      <c r="J418" s="154">
        <v>81</v>
      </c>
      <c r="K418" s="155">
        <v>41</v>
      </c>
      <c r="L418" s="155">
        <v>3</v>
      </c>
      <c r="M418" s="146">
        <v>70</v>
      </c>
      <c r="N418" s="145">
        <v>34</v>
      </c>
      <c r="O418" s="155">
        <v>3</v>
      </c>
      <c r="P418" s="146">
        <v>68</v>
      </c>
      <c r="Q418" s="145">
        <v>35</v>
      </c>
      <c r="R418" s="155">
        <v>3</v>
      </c>
      <c r="S418" s="77">
        <f t="shared" si="164"/>
        <v>298</v>
      </c>
      <c r="T418" s="78">
        <f t="shared" si="165"/>
        <v>146</v>
      </c>
      <c r="U418" s="79">
        <v>46</v>
      </c>
      <c r="V418" s="23">
        <v>18</v>
      </c>
      <c r="W418" s="80">
        <f>I418+L418+O418+R418</f>
        <v>12</v>
      </c>
    </row>
    <row r="419" spans="1:23" ht="30" customHeight="1" x14ac:dyDescent="0.25">
      <c r="A419" s="155" t="s">
        <v>204</v>
      </c>
      <c r="B419" s="20">
        <v>47</v>
      </c>
      <c r="C419" s="21" t="s">
        <v>53</v>
      </c>
      <c r="D419" s="280" t="s">
        <v>173</v>
      </c>
      <c r="E419" s="21" t="s">
        <v>133</v>
      </c>
      <c r="F419" s="155" t="s">
        <v>105</v>
      </c>
      <c r="G419" s="146">
        <v>68</v>
      </c>
      <c r="H419" s="145">
        <v>35</v>
      </c>
      <c r="I419" s="155">
        <v>3</v>
      </c>
      <c r="J419" s="154">
        <v>84</v>
      </c>
      <c r="K419" s="155">
        <v>45</v>
      </c>
      <c r="L419" s="155">
        <v>3</v>
      </c>
      <c r="M419" s="146">
        <v>70</v>
      </c>
      <c r="N419" s="145">
        <v>39</v>
      </c>
      <c r="O419" s="155">
        <v>3</v>
      </c>
      <c r="P419" s="146">
        <v>64</v>
      </c>
      <c r="Q419" s="145">
        <v>30</v>
      </c>
      <c r="R419" s="155">
        <v>3</v>
      </c>
      <c r="S419" s="77">
        <f t="shared" si="164"/>
        <v>286</v>
      </c>
      <c r="T419" s="78">
        <f t="shared" si="165"/>
        <v>149</v>
      </c>
      <c r="U419" s="79">
        <v>40</v>
      </c>
      <c r="V419" s="23">
        <v>22</v>
      </c>
      <c r="W419" s="80">
        <f>I419+L419+O419+R419</f>
        <v>12</v>
      </c>
    </row>
    <row r="420" spans="1:23" ht="30" customHeight="1" thickBot="1" x14ac:dyDescent="0.3">
      <c r="A420" s="149" t="s">
        <v>204</v>
      </c>
      <c r="B420" s="351" t="s">
        <v>94</v>
      </c>
      <c r="C420" s="352"/>
      <c r="D420" s="352"/>
      <c r="E420" s="352"/>
      <c r="F420" s="353"/>
      <c r="G420" s="40">
        <f t="shared" ref="G420:H420" si="176">SUM(G416:G419)</f>
        <v>252</v>
      </c>
      <c r="H420" s="64">
        <f t="shared" si="176"/>
        <v>119</v>
      </c>
      <c r="I420" s="81">
        <f t="shared" ref="I420:W420" si="177">SUM(I416:I419)</f>
        <v>10</v>
      </c>
      <c r="J420" s="27">
        <v>242</v>
      </c>
      <c r="K420" s="81">
        <v>125</v>
      </c>
      <c r="L420" s="81">
        <f t="shared" si="177"/>
        <v>9</v>
      </c>
      <c r="M420" s="26">
        <f t="shared" si="177"/>
        <v>237</v>
      </c>
      <c r="N420" s="64">
        <f t="shared" si="177"/>
        <v>124</v>
      </c>
      <c r="O420" s="81">
        <f t="shared" si="177"/>
        <v>10</v>
      </c>
      <c r="P420" s="26">
        <f t="shared" si="177"/>
        <v>227</v>
      </c>
      <c r="Q420" s="64">
        <f t="shared" si="177"/>
        <v>104</v>
      </c>
      <c r="R420" s="81">
        <f t="shared" si="177"/>
        <v>10</v>
      </c>
      <c r="S420" s="82">
        <f t="shared" si="164"/>
        <v>958</v>
      </c>
      <c r="T420" s="83">
        <f t="shared" si="165"/>
        <v>472</v>
      </c>
      <c r="U420" s="25">
        <f t="shared" si="177"/>
        <v>122</v>
      </c>
      <c r="V420" s="84">
        <f t="shared" si="177"/>
        <v>56</v>
      </c>
      <c r="W420" s="85">
        <f t="shared" si="177"/>
        <v>39</v>
      </c>
    </row>
    <row r="421" spans="1:23" ht="30" customHeight="1" thickBot="1" x14ac:dyDescent="0.3">
      <c r="A421" s="43" t="s">
        <v>204</v>
      </c>
      <c r="B421" s="348" t="s">
        <v>95</v>
      </c>
      <c r="C421" s="349"/>
      <c r="D421" s="349"/>
      <c r="E421" s="349"/>
      <c r="F421" s="350"/>
      <c r="G421" s="40">
        <f t="shared" ref="G421:H421" si="178">G404+G410+G415+G420</f>
        <v>748</v>
      </c>
      <c r="H421" s="64">
        <f t="shared" si="178"/>
        <v>362</v>
      </c>
      <c r="I421" s="81">
        <f t="shared" ref="I421:W421" si="179">I404+I410+I415+I420</f>
        <v>30.75</v>
      </c>
      <c r="J421" s="27">
        <v>785</v>
      </c>
      <c r="K421" s="81">
        <v>399</v>
      </c>
      <c r="L421" s="94">
        <f t="shared" si="179"/>
        <v>30.75</v>
      </c>
      <c r="M421" s="26">
        <f t="shared" si="179"/>
        <v>769</v>
      </c>
      <c r="N421" s="64">
        <f t="shared" si="179"/>
        <v>383</v>
      </c>
      <c r="O421" s="81">
        <f t="shared" si="179"/>
        <v>31.75</v>
      </c>
      <c r="P421" s="26">
        <f t="shared" si="179"/>
        <v>750</v>
      </c>
      <c r="Q421" s="64">
        <f t="shared" si="179"/>
        <v>344</v>
      </c>
      <c r="R421" s="81">
        <f t="shared" si="179"/>
        <v>32.75</v>
      </c>
      <c r="S421" s="42">
        <f t="shared" si="164"/>
        <v>3052</v>
      </c>
      <c r="T421" s="95">
        <f t="shared" si="165"/>
        <v>1488</v>
      </c>
      <c r="U421" s="25">
        <f t="shared" si="179"/>
        <v>349</v>
      </c>
      <c r="V421" s="84">
        <f t="shared" si="179"/>
        <v>155</v>
      </c>
      <c r="W421" s="85">
        <f t="shared" si="179"/>
        <v>126</v>
      </c>
    </row>
    <row r="422" spans="1:23" ht="30" customHeight="1" x14ac:dyDescent="0.25">
      <c r="A422" s="44" t="s">
        <v>204</v>
      </c>
      <c r="B422" s="20">
        <v>51</v>
      </c>
      <c r="C422" s="21" t="s">
        <v>66</v>
      </c>
      <c r="D422" s="280" t="s">
        <v>174</v>
      </c>
      <c r="E422" s="21" t="s">
        <v>26</v>
      </c>
      <c r="F422" s="155" t="s">
        <v>105</v>
      </c>
      <c r="G422" s="146">
        <v>61</v>
      </c>
      <c r="H422" s="145">
        <v>31</v>
      </c>
      <c r="I422" s="155">
        <v>3</v>
      </c>
      <c r="J422" s="154">
        <v>73</v>
      </c>
      <c r="K422" s="155">
        <v>34</v>
      </c>
      <c r="L422" s="155">
        <v>3</v>
      </c>
      <c r="M422" s="146">
        <v>67</v>
      </c>
      <c r="N422" s="145">
        <v>39</v>
      </c>
      <c r="O422" s="155">
        <v>3</v>
      </c>
      <c r="P422" s="146">
        <v>67</v>
      </c>
      <c r="Q422" s="145">
        <v>34</v>
      </c>
      <c r="R422" s="155">
        <v>3</v>
      </c>
      <c r="S422" s="77">
        <f t="shared" si="164"/>
        <v>268</v>
      </c>
      <c r="T422" s="78">
        <f t="shared" si="165"/>
        <v>138</v>
      </c>
      <c r="U422" s="79">
        <v>61</v>
      </c>
      <c r="V422" s="23">
        <v>34</v>
      </c>
      <c r="W422" s="80">
        <f>I422+L422+O422+R422</f>
        <v>12</v>
      </c>
    </row>
    <row r="423" spans="1:23" ht="30" customHeight="1" x14ac:dyDescent="0.25">
      <c r="A423" s="10" t="s">
        <v>204</v>
      </c>
      <c r="B423" s="33">
        <v>51</v>
      </c>
      <c r="C423" s="34" t="s">
        <v>66</v>
      </c>
      <c r="D423" s="280" t="s">
        <v>175</v>
      </c>
      <c r="E423" s="21" t="s">
        <v>41</v>
      </c>
      <c r="F423" s="155" t="s">
        <v>107</v>
      </c>
      <c r="G423" s="8">
        <v>78</v>
      </c>
      <c r="H423" s="9">
        <v>40</v>
      </c>
      <c r="I423" s="10">
        <v>3</v>
      </c>
      <c r="J423" s="92">
        <v>80</v>
      </c>
      <c r="K423" s="10">
        <v>35</v>
      </c>
      <c r="L423" s="10">
        <v>3</v>
      </c>
      <c r="M423" s="8">
        <v>81</v>
      </c>
      <c r="N423" s="9">
        <v>31</v>
      </c>
      <c r="O423" s="10">
        <v>3</v>
      </c>
      <c r="P423" s="8">
        <v>82</v>
      </c>
      <c r="Q423" s="9">
        <v>36</v>
      </c>
      <c r="R423" s="10">
        <v>3</v>
      </c>
      <c r="S423" s="92">
        <f t="shared" si="164"/>
        <v>321</v>
      </c>
      <c r="T423" s="17">
        <f t="shared" si="165"/>
        <v>142</v>
      </c>
      <c r="U423" s="12">
        <v>26</v>
      </c>
      <c r="V423" s="35">
        <v>13</v>
      </c>
      <c r="W423" s="93">
        <f>I423+L423+O423+R423</f>
        <v>12</v>
      </c>
    </row>
    <row r="424" spans="1:23" ht="30" customHeight="1" x14ac:dyDescent="0.25">
      <c r="A424" s="10" t="s">
        <v>204</v>
      </c>
      <c r="B424" s="33">
        <v>51</v>
      </c>
      <c r="C424" s="34" t="s">
        <v>66</v>
      </c>
      <c r="D424" s="280" t="s">
        <v>176</v>
      </c>
      <c r="E424" s="21" t="s">
        <v>206</v>
      </c>
      <c r="F424" s="155" t="s">
        <v>106</v>
      </c>
      <c r="G424" s="91">
        <v>96</v>
      </c>
      <c r="H424" s="17">
        <v>51</v>
      </c>
      <c r="I424" s="10">
        <v>4</v>
      </c>
      <c r="J424" s="92">
        <v>100</v>
      </c>
      <c r="K424" s="10">
        <v>61</v>
      </c>
      <c r="L424" s="10">
        <v>4</v>
      </c>
      <c r="M424" s="91">
        <v>95</v>
      </c>
      <c r="N424" s="17">
        <v>42</v>
      </c>
      <c r="O424" s="10">
        <v>4</v>
      </c>
      <c r="P424" s="91">
        <v>109</v>
      </c>
      <c r="Q424" s="17">
        <v>56</v>
      </c>
      <c r="R424" s="10">
        <v>4</v>
      </c>
      <c r="S424" s="92">
        <f t="shared" si="164"/>
        <v>400</v>
      </c>
      <c r="T424" s="17">
        <f t="shared" si="165"/>
        <v>210</v>
      </c>
      <c r="U424" s="12">
        <v>45</v>
      </c>
      <c r="V424" s="35">
        <v>24</v>
      </c>
      <c r="W424" s="93">
        <f>I424+L424+O424+R424</f>
        <v>16</v>
      </c>
    </row>
    <row r="425" spans="1:23" ht="30" customHeight="1" x14ac:dyDescent="0.25">
      <c r="A425" s="155" t="s">
        <v>204</v>
      </c>
      <c r="B425" s="20">
        <v>52</v>
      </c>
      <c r="C425" s="21" t="s">
        <v>72</v>
      </c>
      <c r="D425" s="280" t="s">
        <v>177</v>
      </c>
      <c r="E425" s="21" t="s">
        <v>29</v>
      </c>
      <c r="F425" s="155" t="s">
        <v>105</v>
      </c>
      <c r="G425" s="146">
        <v>38</v>
      </c>
      <c r="H425" s="145">
        <v>15</v>
      </c>
      <c r="I425" s="155">
        <v>2</v>
      </c>
      <c r="J425" s="154">
        <v>45</v>
      </c>
      <c r="K425" s="155">
        <v>20</v>
      </c>
      <c r="L425" s="155">
        <v>2</v>
      </c>
      <c r="M425" s="146">
        <v>55</v>
      </c>
      <c r="N425" s="145">
        <v>30</v>
      </c>
      <c r="O425" s="155">
        <v>2</v>
      </c>
      <c r="P425" s="146">
        <v>44</v>
      </c>
      <c r="Q425" s="145">
        <v>20</v>
      </c>
      <c r="R425" s="155">
        <v>2</v>
      </c>
      <c r="S425" s="77">
        <f t="shared" si="164"/>
        <v>182</v>
      </c>
      <c r="T425" s="78">
        <f t="shared" si="165"/>
        <v>85</v>
      </c>
      <c r="U425" s="79">
        <v>15</v>
      </c>
      <c r="V425" s="23">
        <v>6</v>
      </c>
      <c r="W425" s="80">
        <f>I425+L425+O425+R425</f>
        <v>8</v>
      </c>
    </row>
    <row r="426" spans="1:23" ht="30" customHeight="1" x14ac:dyDescent="0.25">
      <c r="A426" s="10" t="s">
        <v>204</v>
      </c>
      <c r="B426" s="33">
        <v>54</v>
      </c>
      <c r="C426" s="34" t="s">
        <v>89</v>
      </c>
      <c r="D426" s="280" t="s">
        <v>178</v>
      </c>
      <c r="E426" s="21" t="s">
        <v>111</v>
      </c>
      <c r="F426" s="155" t="s">
        <v>107</v>
      </c>
      <c r="G426" s="8">
        <v>44</v>
      </c>
      <c r="H426" s="9">
        <v>21</v>
      </c>
      <c r="I426" s="10">
        <v>2</v>
      </c>
      <c r="J426" s="92">
        <v>59</v>
      </c>
      <c r="K426" s="10">
        <v>25</v>
      </c>
      <c r="L426" s="10">
        <v>2</v>
      </c>
      <c r="M426" s="8">
        <v>39</v>
      </c>
      <c r="N426" s="9">
        <v>21</v>
      </c>
      <c r="O426" s="10">
        <v>2</v>
      </c>
      <c r="P426" s="8">
        <v>47</v>
      </c>
      <c r="Q426" s="9">
        <v>23</v>
      </c>
      <c r="R426" s="10">
        <v>2</v>
      </c>
      <c r="S426" s="92">
        <f t="shared" si="164"/>
        <v>189</v>
      </c>
      <c r="T426" s="17">
        <f t="shared" si="165"/>
        <v>90</v>
      </c>
      <c r="U426" s="12">
        <v>19</v>
      </c>
      <c r="V426" s="35">
        <v>7</v>
      </c>
      <c r="W426" s="93">
        <f>I426+L426+O426+R426</f>
        <v>8</v>
      </c>
    </row>
    <row r="427" spans="1:23" ht="30" customHeight="1" x14ac:dyDescent="0.25">
      <c r="A427" s="10" t="s">
        <v>204</v>
      </c>
      <c r="B427" s="33">
        <v>56</v>
      </c>
      <c r="C427" s="34" t="s">
        <v>83</v>
      </c>
      <c r="D427" s="280" t="s">
        <v>179</v>
      </c>
      <c r="E427" s="21" t="s">
        <v>207</v>
      </c>
      <c r="F427" s="155" t="s">
        <v>107</v>
      </c>
      <c r="G427" s="8">
        <f>71+10+10</f>
        <v>91</v>
      </c>
      <c r="H427" s="9">
        <f>42+6+6</f>
        <v>54</v>
      </c>
      <c r="I427" s="10">
        <v>4</v>
      </c>
      <c r="J427" s="92">
        <v>79</v>
      </c>
      <c r="K427" s="10">
        <v>38</v>
      </c>
      <c r="L427" s="10">
        <v>3</v>
      </c>
      <c r="M427" s="8">
        <v>77</v>
      </c>
      <c r="N427" s="9">
        <v>35</v>
      </c>
      <c r="O427" s="10">
        <v>3</v>
      </c>
      <c r="P427" s="8">
        <v>79</v>
      </c>
      <c r="Q427" s="9">
        <v>42</v>
      </c>
      <c r="R427" s="10">
        <v>3</v>
      </c>
      <c r="S427" s="92">
        <f t="shared" si="164"/>
        <v>326</v>
      </c>
      <c r="T427" s="17">
        <f t="shared" si="165"/>
        <v>169</v>
      </c>
      <c r="U427" s="12">
        <v>30</v>
      </c>
      <c r="V427" s="35">
        <v>19</v>
      </c>
      <c r="W427" s="93">
        <f>I427+L427+O427+R427</f>
        <v>13</v>
      </c>
    </row>
    <row r="428" spans="1:23" ht="30" customHeight="1" x14ac:dyDescent="0.25">
      <c r="A428" s="155" t="s">
        <v>204</v>
      </c>
      <c r="B428" s="20">
        <v>57</v>
      </c>
      <c r="C428" s="21" t="s">
        <v>63</v>
      </c>
      <c r="D428" s="280" t="s">
        <v>180</v>
      </c>
      <c r="E428" s="21" t="s">
        <v>23</v>
      </c>
      <c r="F428" s="155" t="s">
        <v>105</v>
      </c>
      <c r="G428" s="146">
        <v>103</v>
      </c>
      <c r="H428" s="145">
        <v>44</v>
      </c>
      <c r="I428" s="155">
        <v>5</v>
      </c>
      <c r="J428" s="154">
        <v>109</v>
      </c>
      <c r="K428" s="155">
        <v>53</v>
      </c>
      <c r="L428" s="155">
        <v>4</v>
      </c>
      <c r="M428" s="146">
        <v>110</v>
      </c>
      <c r="N428" s="145">
        <v>40</v>
      </c>
      <c r="O428" s="155">
        <v>4</v>
      </c>
      <c r="P428" s="146">
        <v>87</v>
      </c>
      <c r="Q428" s="145">
        <v>43</v>
      </c>
      <c r="R428" s="155">
        <v>4</v>
      </c>
      <c r="S428" s="77">
        <f t="shared" si="164"/>
        <v>409</v>
      </c>
      <c r="T428" s="78">
        <f t="shared" si="165"/>
        <v>180</v>
      </c>
      <c r="U428" s="79">
        <v>43</v>
      </c>
      <c r="V428" s="23">
        <v>18</v>
      </c>
      <c r="W428" s="80">
        <f>I428+L428+O428+R428</f>
        <v>17</v>
      </c>
    </row>
    <row r="429" spans="1:23" ht="30" customHeight="1" x14ac:dyDescent="0.25">
      <c r="A429" s="155" t="s">
        <v>204</v>
      </c>
      <c r="B429" s="45">
        <v>58</v>
      </c>
      <c r="C429" s="46" t="s">
        <v>50</v>
      </c>
      <c r="D429" s="282" t="s">
        <v>181</v>
      </c>
      <c r="E429" s="46" t="s">
        <v>215</v>
      </c>
      <c r="F429" s="149" t="s">
        <v>105</v>
      </c>
      <c r="G429" s="146">
        <v>42</v>
      </c>
      <c r="H429" s="145">
        <v>18</v>
      </c>
      <c r="I429" s="155">
        <v>2</v>
      </c>
      <c r="J429" s="154">
        <v>58</v>
      </c>
      <c r="K429" s="155">
        <v>30</v>
      </c>
      <c r="L429" s="155">
        <v>2</v>
      </c>
      <c r="M429" s="146">
        <v>44</v>
      </c>
      <c r="N429" s="145">
        <v>23</v>
      </c>
      <c r="O429" s="155">
        <v>2</v>
      </c>
      <c r="P429" s="146">
        <v>56</v>
      </c>
      <c r="Q429" s="145">
        <v>29</v>
      </c>
      <c r="R429" s="155">
        <v>3</v>
      </c>
      <c r="S429" s="77">
        <f t="shared" si="164"/>
        <v>200</v>
      </c>
      <c r="T429" s="78">
        <f t="shared" si="165"/>
        <v>100</v>
      </c>
      <c r="U429" s="79">
        <v>7</v>
      </c>
      <c r="V429" s="23">
        <v>1</v>
      </c>
      <c r="W429" s="80">
        <f>I429+L429+O429+R429</f>
        <v>9</v>
      </c>
    </row>
    <row r="430" spans="1:23" ht="30" customHeight="1" thickBot="1" x14ac:dyDescent="0.3">
      <c r="A430" s="36" t="s">
        <v>204</v>
      </c>
      <c r="B430" s="351" t="s">
        <v>96</v>
      </c>
      <c r="C430" s="352"/>
      <c r="D430" s="352"/>
      <c r="E430" s="352"/>
      <c r="F430" s="353"/>
      <c r="G430" s="40">
        <f t="shared" ref="G430:H430" si="180">SUM(G422:G429)</f>
        <v>553</v>
      </c>
      <c r="H430" s="64">
        <f t="shared" si="180"/>
        <v>274</v>
      </c>
      <c r="I430" s="81">
        <f t="shared" ref="I430:W430" si="181">SUM(I422:I429)</f>
        <v>25</v>
      </c>
      <c r="J430" s="27">
        <v>603</v>
      </c>
      <c r="K430" s="81">
        <v>296</v>
      </c>
      <c r="L430" s="96">
        <f t="shared" si="181"/>
        <v>23</v>
      </c>
      <c r="M430" s="26">
        <f t="shared" si="181"/>
        <v>568</v>
      </c>
      <c r="N430" s="64">
        <f t="shared" si="181"/>
        <v>261</v>
      </c>
      <c r="O430" s="81">
        <f t="shared" si="181"/>
        <v>23</v>
      </c>
      <c r="P430" s="26">
        <f t="shared" si="181"/>
        <v>571</v>
      </c>
      <c r="Q430" s="64">
        <f t="shared" si="181"/>
        <v>283</v>
      </c>
      <c r="R430" s="81">
        <f t="shared" si="181"/>
        <v>24</v>
      </c>
      <c r="S430" s="42">
        <f t="shared" si="164"/>
        <v>2295</v>
      </c>
      <c r="T430" s="95">
        <f t="shared" si="165"/>
        <v>1114</v>
      </c>
      <c r="U430" s="25">
        <f t="shared" si="181"/>
        <v>246</v>
      </c>
      <c r="V430" s="84">
        <f t="shared" si="181"/>
        <v>122</v>
      </c>
      <c r="W430" s="85">
        <f t="shared" si="181"/>
        <v>95</v>
      </c>
    </row>
    <row r="431" spans="1:23" ht="30" customHeight="1" x14ac:dyDescent="0.25">
      <c r="A431" s="37" t="s">
        <v>204</v>
      </c>
      <c r="B431" s="33">
        <v>61</v>
      </c>
      <c r="C431" s="34" t="s">
        <v>69</v>
      </c>
      <c r="D431" s="280" t="s">
        <v>182</v>
      </c>
      <c r="E431" s="21" t="s">
        <v>208</v>
      </c>
      <c r="F431" s="155" t="s">
        <v>106</v>
      </c>
      <c r="G431" s="91">
        <f>6+6+8+7+6</f>
        <v>33</v>
      </c>
      <c r="H431" s="17">
        <f>3+1+5+3+2</f>
        <v>14</v>
      </c>
      <c r="I431" s="10">
        <v>2.5</v>
      </c>
      <c r="J431" s="92">
        <v>79</v>
      </c>
      <c r="K431" s="10">
        <v>39</v>
      </c>
      <c r="L431" s="10">
        <v>2.5</v>
      </c>
      <c r="M431" s="91">
        <v>46</v>
      </c>
      <c r="N431" s="17">
        <v>26</v>
      </c>
      <c r="O431" s="10">
        <v>2</v>
      </c>
      <c r="P431" s="91">
        <v>34</v>
      </c>
      <c r="Q431" s="17">
        <v>14</v>
      </c>
      <c r="R431" s="10">
        <v>2</v>
      </c>
      <c r="S431" s="92">
        <f t="shared" si="164"/>
        <v>192</v>
      </c>
      <c r="T431" s="17">
        <f t="shared" si="165"/>
        <v>93</v>
      </c>
      <c r="U431" s="12">
        <v>77</v>
      </c>
      <c r="V431" s="35">
        <v>41</v>
      </c>
      <c r="W431" s="93">
        <f>I431+L431+O431+R431</f>
        <v>9</v>
      </c>
    </row>
    <row r="432" spans="1:23" ht="30" customHeight="1" x14ac:dyDescent="0.25">
      <c r="A432" s="44" t="s">
        <v>204</v>
      </c>
      <c r="B432" s="20">
        <v>61</v>
      </c>
      <c r="C432" s="21" t="s">
        <v>69</v>
      </c>
      <c r="D432" s="280" t="s">
        <v>183</v>
      </c>
      <c r="E432" s="21" t="s">
        <v>209</v>
      </c>
      <c r="F432" s="155" t="s">
        <v>105</v>
      </c>
      <c r="G432" s="146">
        <v>72</v>
      </c>
      <c r="H432" s="145">
        <v>33</v>
      </c>
      <c r="I432" s="155">
        <v>3.5</v>
      </c>
      <c r="J432" s="154">
        <v>87</v>
      </c>
      <c r="K432" s="155">
        <v>42</v>
      </c>
      <c r="L432" s="155">
        <v>3.5</v>
      </c>
      <c r="M432" s="146">
        <v>70</v>
      </c>
      <c r="N432" s="145">
        <v>28</v>
      </c>
      <c r="O432" s="155">
        <v>3</v>
      </c>
      <c r="P432" s="146">
        <v>47</v>
      </c>
      <c r="Q432" s="145">
        <v>30</v>
      </c>
      <c r="R432" s="155">
        <v>2</v>
      </c>
      <c r="S432" s="77">
        <f t="shared" si="164"/>
        <v>276</v>
      </c>
      <c r="T432" s="17">
        <f t="shared" si="165"/>
        <v>133</v>
      </c>
      <c r="U432" s="79">
        <v>77</v>
      </c>
      <c r="V432" s="23">
        <v>40</v>
      </c>
      <c r="W432" s="80">
        <f>I432+L432+O432+R432</f>
        <v>12</v>
      </c>
    </row>
    <row r="433" spans="1:23" ht="30" customHeight="1" x14ac:dyDescent="0.25">
      <c r="A433" s="29" t="s">
        <v>204</v>
      </c>
      <c r="B433" s="47">
        <v>62</v>
      </c>
      <c r="C433" s="48" t="s">
        <v>77</v>
      </c>
      <c r="D433" s="113" t="s">
        <v>184</v>
      </c>
      <c r="E433" s="11" t="s">
        <v>76</v>
      </c>
      <c r="F433" s="145" t="s">
        <v>106</v>
      </c>
      <c r="G433" s="91">
        <v>65</v>
      </c>
      <c r="H433" s="17">
        <v>30</v>
      </c>
      <c r="I433" s="10">
        <v>3</v>
      </c>
      <c r="J433" s="92">
        <v>68</v>
      </c>
      <c r="K433" s="17">
        <v>27</v>
      </c>
      <c r="L433" s="97">
        <v>3</v>
      </c>
      <c r="M433" s="91">
        <v>63</v>
      </c>
      <c r="N433" s="17">
        <v>31</v>
      </c>
      <c r="O433" s="10">
        <v>3</v>
      </c>
      <c r="P433" s="91">
        <v>66</v>
      </c>
      <c r="Q433" s="17">
        <v>39</v>
      </c>
      <c r="R433" s="10">
        <v>3</v>
      </c>
      <c r="S433" s="91">
        <f t="shared" si="164"/>
        <v>262</v>
      </c>
      <c r="T433" s="17">
        <f t="shared" si="165"/>
        <v>127</v>
      </c>
      <c r="U433" s="12">
        <v>34</v>
      </c>
      <c r="V433" s="35">
        <v>11</v>
      </c>
      <c r="W433" s="93">
        <f>I433+L433+O433+R433</f>
        <v>12</v>
      </c>
    </row>
    <row r="434" spans="1:23" ht="30" customHeight="1" x14ac:dyDescent="0.25">
      <c r="A434" s="10" t="s">
        <v>204</v>
      </c>
      <c r="B434" s="47">
        <v>63</v>
      </c>
      <c r="C434" s="48" t="s">
        <v>80</v>
      </c>
      <c r="D434" s="113" t="s">
        <v>185</v>
      </c>
      <c r="E434" s="11" t="s">
        <v>110</v>
      </c>
      <c r="F434" s="145" t="s">
        <v>107</v>
      </c>
      <c r="G434" s="8">
        <v>54</v>
      </c>
      <c r="H434" s="9">
        <v>22</v>
      </c>
      <c r="I434" s="10">
        <v>2</v>
      </c>
      <c r="J434" s="92">
        <v>51</v>
      </c>
      <c r="K434" s="17">
        <v>30</v>
      </c>
      <c r="L434" s="97">
        <v>2</v>
      </c>
      <c r="M434" s="8">
        <v>46</v>
      </c>
      <c r="N434" s="9">
        <v>27</v>
      </c>
      <c r="O434" s="10">
        <v>2</v>
      </c>
      <c r="P434" s="8">
        <v>42</v>
      </c>
      <c r="Q434" s="9">
        <v>18</v>
      </c>
      <c r="R434" s="10">
        <v>2</v>
      </c>
      <c r="S434" s="91">
        <f t="shared" si="164"/>
        <v>193</v>
      </c>
      <c r="T434" s="17">
        <f t="shared" si="165"/>
        <v>97</v>
      </c>
      <c r="U434" s="12">
        <v>31</v>
      </c>
      <c r="V434" s="35">
        <v>16</v>
      </c>
      <c r="W434" s="93">
        <f>I434+L434+O434+R434</f>
        <v>8</v>
      </c>
    </row>
    <row r="435" spans="1:23" ht="30" customHeight="1" x14ac:dyDescent="0.25">
      <c r="A435" s="10" t="s">
        <v>204</v>
      </c>
      <c r="B435" s="47">
        <v>63</v>
      </c>
      <c r="C435" s="48" t="s">
        <v>80</v>
      </c>
      <c r="D435" s="113" t="s">
        <v>186</v>
      </c>
      <c r="E435" s="11" t="s">
        <v>210</v>
      </c>
      <c r="F435" s="145" t="s">
        <v>107</v>
      </c>
      <c r="G435" s="8">
        <v>49</v>
      </c>
      <c r="H435" s="9">
        <v>22</v>
      </c>
      <c r="I435" s="10">
        <v>3</v>
      </c>
      <c r="J435" s="92">
        <v>85</v>
      </c>
      <c r="K435" s="17">
        <v>39</v>
      </c>
      <c r="L435" s="97">
        <v>3</v>
      </c>
      <c r="M435" s="8">
        <v>42</v>
      </c>
      <c r="N435" s="9">
        <v>23</v>
      </c>
      <c r="O435" s="10">
        <v>2</v>
      </c>
      <c r="P435" s="8">
        <v>45</v>
      </c>
      <c r="Q435" s="9">
        <v>17</v>
      </c>
      <c r="R435" s="10">
        <v>2</v>
      </c>
      <c r="S435" s="91">
        <f t="shared" si="164"/>
        <v>221</v>
      </c>
      <c r="T435" s="17">
        <f t="shared" si="165"/>
        <v>101</v>
      </c>
      <c r="U435" s="12">
        <v>74</v>
      </c>
      <c r="V435" s="35">
        <v>35</v>
      </c>
      <c r="W435" s="93">
        <f>I435+L435+O435+R435</f>
        <v>10</v>
      </c>
    </row>
    <row r="436" spans="1:23" ht="30" customHeight="1" x14ac:dyDescent="0.25">
      <c r="A436" s="155" t="s">
        <v>204</v>
      </c>
      <c r="B436" s="163">
        <v>68</v>
      </c>
      <c r="C436" s="49" t="s">
        <v>56</v>
      </c>
      <c r="D436" s="283" t="s">
        <v>187</v>
      </c>
      <c r="E436" s="49" t="s">
        <v>211</v>
      </c>
      <c r="F436" s="152" t="s">
        <v>105</v>
      </c>
      <c r="G436" s="146">
        <v>30</v>
      </c>
      <c r="H436" s="145">
        <v>17</v>
      </c>
      <c r="I436" s="155">
        <v>2</v>
      </c>
      <c r="J436" s="154">
        <v>52</v>
      </c>
      <c r="K436" s="145">
        <v>24</v>
      </c>
      <c r="L436" s="157">
        <v>2</v>
      </c>
      <c r="M436" s="146">
        <v>30</v>
      </c>
      <c r="N436" s="145">
        <v>12</v>
      </c>
      <c r="O436" s="155">
        <v>1</v>
      </c>
      <c r="P436" s="146">
        <v>27</v>
      </c>
      <c r="Q436" s="145">
        <v>14</v>
      </c>
      <c r="R436" s="155">
        <v>1</v>
      </c>
      <c r="S436" s="98">
        <f t="shared" si="164"/>
        <v>139</v>
      </c>
      <c r="T436" s="78">
        <f t="shared" si="165"/>
        <v>67</v>
      </c>
      <c r="U436" s="79">
        <v>7</v>
      </c>
      <c r="V436" s="23">
        <v>4</v>
      </c>
      <c r="W436" s="80">
        <f>I436+L436+O436+R436</f>
        <v>6</v>
      </c>
    </row>
    <row r="437" spans="1:23" ht="30" customHeight="1" thickBot="1" x14ac:dyDescent="0.3">
      <c r="A437" s="36" t="s">
        <v>204</v>
      </c>
      <c r="B437" s="351" t="s">
        <v>98</v>
      </c>
      <c r="C437" s="352"/>
      <c r="D437" s="352"/>
      <c r="E437" s="352"/>
      <c r="F437" s="353"/>
      <c r="G437" s="40">
        <f t="shared" ref="G437:H437" si="182">SUM(G431:G436)</f>
        <v>303</v>
      </c>
      <c r="H437" s="64">
        <f t="shared" si="182"/>
        <v>138</v>
      </c>
      <c r="I437" s="81">
        <f t="shared" ref="I437:R437" si="183">SUM(I431:I436)</f>
        <v>16</v>
      </c>
      <c r="J437" s="27">
        <v>422</v>
      </c>
      <c r="K437" s="81">
        <v>201</v>
      </c>
      <c r="L437" s="109">
        <f t="shared" si="183"/>
        <v>16</v>
      </c>
      <c r="M437" s="26">
        <f t="shared" si="183"/>
        <v>297</v>
      </c>
      <c r="N437" s="64">
        <f t="shared" si="183"/>
        <v>147</v>
      </c>
      <c r="O437" s="81">
        <f t="shared" si="183"/>
        <v>13</v>
      </c>
      <c r="P437" s="26">
        <f t="shared" si="183"/>
        <v>261</v>
      </c>
      <c r="Q437" s="64">
        <f t="shared" si="183"/>
        <v>132</v>
      </c>
      <c r="R437" s="81">
        <f t="shared" si="183"/>
        <v>12</v>
      </c>
      <c r="S437" s="42">
        <f t="shared" si="164"/>
        <v>1283</v>
      </c>
      <c r="T437" s="95">
        <f t="shared" si="165"/>
        <v>618</v>
      </c>
      <c r="U437" s="25">
        <f t="shared" ref="U437:W437" si="184">SUM(U431:U436)</f>
        <v>300</v>
      </c>
      <c r="V437" s="84">
        <f t="shared" si="184"/>
        <v>147</v>
      </c>
      <c r="W437" s="85">
        <f t="shared" si="184"/>
        <v>57</v>
      </c>
    </row>
    <row r="438" spans="1:23" ht="30" customHeight="1" x14ac:dyDescent="0.25">
      <c r="A438" s="10" t="s">
        <v>204</v>
      </c>
      <c r="B438" s="47">
        <v>71</v>
      </c>
      <c r="C438" s="48" t="s">
        <v>71</v>
      </c>
      <c r="D438" s="113" t="s">
        <v>188</v>
      </c>
      <c r="E438" s="11" t="s">
        <v>39</v>
      </c>
      <c r="F438" s="145" t="s">
        <v>107</v>
      </c>
      <c r="G438" s="8">
        <v>55</v>
      </c>
      <c r="H438" s="9">
        <v>29</v>
      </c>
      <c r="I438" s="10">
        <v>2</v>
      </c>
      <c r="J438" s="92">
        <v>58</v>
      </c>
      <c r="K438" s="297">
        <v>27</v>
      </c>
      <c r="L438" s="97">
        <v>2</v>
      </c>
      <c r="M438" s="8">
        <v>58</v>
      </c>
      <c r="N438" s="9">
        <v>30</v>
      </c>
      <c r="O438" s="10">
        <v>2</v>
      </c>
      <c r="P438" s="8">
        <v>58</v>
      </c>
      <c r="Q438" s="9">
        <v>23</v>
      </c>
      <c r="R438" s="10">
        <v>2</v>
      </c>
      <c r="S438" s="91">
        <f t="shared" si="164"/>
        <v>229</v>
      </c>
      <c r="T438" s="17">
        <f t="shared" si="165"/>
        <v>109</v>
      </c>
      <c r="U438" s="12">
        <v>10</v>
      </c>
      <c r="V438" s="35">
        <v>4</v>
      </c>
      <c r="W438" s="99">
        <f>I438+L438+O438+R438</f>
        <v>8</v>
      </c>
    </row>
    <row r="439" spans="1:23" ht="30" customHeight="1" x14ac:dyDescent="0.25">
      <c r="A439" s="155" t="s">
        <v>204</v>
      </c>
      <c r="B439" s="39">
        <v>71</v>
      </c>
      <c r="C439" s="11" t="s">
        <v>71</v>
      </c>
      <c r="D439" s="113" t="s">
        <v>189</v>
      </c>
      <c r="E439" s="11" t="s">
        <v>28</v>
      </c>
      <c r="F439" s="145" t="s">
        <v>105</v>
      </c>
      <c r="G439" s="146">
        <v>29</v>
      </c>
      <c r="H439" s="145">
        <v>15</v>
      </c>
      <c r="I439" s="155">
        <v>1</v>
      </c>
      <c r="J439" s="154">
        <v>26</v>
      </c>
      <c r="K439" s="145">
        <v>13</v>
      </c>
      <c r="L439" s="157">
        <v>1</v>
      </c>
      <c r="M439" s="146">
        <v>27</v>
      </c>
      <c r="N439" s="145">
        <v>15</v>
      </c>
      <c r="O439" s="155">
        <v>1</v>
      </c>
      <c r="P439" s="146">
        <v>31</v>
      </c>
      <c r="Q439" s="145">
        <v>17</v>
      </c>
      <c r="R439" s="155">
        <v>1</v>
      </c>
      <c r="S439" s="91">
        <f t="shared" si="164"/>
        <v>113</v>
      </c>
      <c r="T439" s="17">
        <f t="shared" si="165"/>
        <v>60</v>
      </c>
      <c r="U439" s="79">
        <v>3</v>
      </c>
      <c r="V439" s="23">
        <v>2</v>
      </c>
      <c r="W439" s="93">
        <f>I439+L439+O439+R439</f>
        <v>4</v>
      </c>
    </row>
    <row r="440" spans="1:23" ht="30" customHeight="1" thickBot="1" x14ac:dyDescent="0.3">
      <c r="A440" s="50" t="s">
        <v>204</v>
      </c>
      <c r="B440" s="47">
        <v>76</v>
      </c>
      <c r="C440" s="48" t="s">
        <v>78</v>
      </c>
      <c r="D440" s="113" t="s">
        <v>190</v>
      </c>
      <c r="E440" s="11" t="s">
        <v>212</v>
      </c>
      <c r="F440" s="145" t="s">
        <v>107</v>
      </c>
      <c r="G440" s="8">
        <v>28</v>
      </c>
      <c r="H440" s="9">
        <v>12</v>
      </c>
      <c r="I440" s="10">
        <v>1.5</v>
      </c>
      <c r="J440" s="92">
        <v>35</v>
      </c>
      <c r="K440" s="17">
        <v>22</v>
      </c>
      <c r="L440" s="97">
        <v>1.5</v>
      </c>
      <c r="M440" s="100">
        <v>32</v>
      </c>
      <c r="N440" s="9">
        <v>15</v>
      </c>
      <c r="O440" s="10">
        <v>1</v>
      </c>
      <c r="P440" s="8">
        <v>29</v>
      </c>
      <c r="Q440" s="9">
        <v>14</v>
      </c>
      <c r="R440" s="10">
        <v>1</v>
      </c>
      <c r="S440" s="91">
        <f t="shared" si="164"/>
        <v>124</v>
      </c>
      <c r="T440" s="17">
        <f t="shared" si="165"/>
        <v>63</v>
      </c>
      <c r="U440" s="12">
        <v>8</v>
      </c>
      <c r="V440" s="35">
        <v>5</v>
      </c>
      <c r="W440" s="93">
        <f>I440+L440+O440+R440</f>
        <v>5</v>
      </c>
    </row>
    <row r="441" spans="1:23" ht="30" customHeight="1" x14ac:dyDescent="0.25">
      <c r="A441" s="158" t="s">
        <v>204</v>
      </c>
      <c r="B441" s="39">
        <v>77</v>
      </c>
      <c r="C441" s="11" t="s">
        <v>59</v>
      </c>
      <c r="D441" s="113" t="s">
        <v>191</v>
      </c>
      <c r="E441" s="11" t="s">
        <v>20</v>
      </c>
      <c r="F441" s="145" t="s">
        <v>105</v>
      </c>
      <c r="G441" s="146">
        <v>54</v>
      </c>
      <c r="H441" s="145">
        <v>20</v>
      </c>
      <c r="I441" s="155">
        <v>2</v>
      </c>
      <c r="J441" s="154">
        <v>58</v>
      </c>
      <c r="K441" s="155">
        <v>25</v>
      </c>
      <c r="L441" s="155">
        <v>2</v>
      </c>
      <c r="M441" s="146">
        <v>46</v>
      </c>
      <c r="N441" s="145">
        <v>23</v>
      </c>
      <c r="O441" s="155">
        <v>2</v>
      </c>
      <c r="P441" s="146">
        <v>55</v>
      </c>
      <c r="Q441" s="145">
        <v>27</v>
      </c>
      <c r="R441" s="155">
        <v>2</v>
      </c>
      <c r="S441" s="98">
        <f t="shared" si="164"/>
        <v>213</v>
      </c>
      <c r="T441" s="78">
        <f t="shared" si="165"/>
        <v>95</v>
      </c>
      <c r="U441" s="79">
        <v>7</v>
      </c>
      <c r="V441" s="22">
        <v>2</v>
      </c>
      <c r="W441" s="80">
        <f>I441+L441+O441+R441</f>
        <v>8</v>
      </c>
    </row>
    <row r="442" spans="1:23" ht="30" customHeight="1" x14ac:dyDescent="0.25">
      <c r="A442" s="50" t="s">
        <v>204</v>
      </c>
      <c r="B442" s="51">
        <v>77</v>
      </c>
      <c r="C442" s="48" t="s">
        <v>59</v>
      </c>
      <c r="D442" s="113" t="s">
        <v>192</v>
      </c>
      <c r="E442" s="11" t="s">
        <v>40</v>
      </c>
      <c r="F442" s="145" t="s">
        <v>107</v>
      </c>
      <c r="G442" s="8">
        <v>60</v>
      </c>
      <c r="H442" s="9">
        <v>36</v>
      </c>
      <c r="I442" s="10">
        <v>3</v>
      </c>
      <c r="J442" s="92">
        <v>49</v>
      </c>
      <c r="K442" s="10">
        <v>25</v>
      </c>
      <c r="L442" s="10">
        <v>2</v>
      </c>
      <c r="M442" s="8">
        <v>48</v>
      </c>
      <c r="N442" s="9">
        <v>13</v>
      </c>
      <c r="O442" s="10">
        <v>2</v>
      </c>
      <c r="P442" s="8">
        <v>48</v>
      </c>
      <c r="Q442" s="9">
        <v>28</v>
      </c>
      <c r="R442" s="10">
        <v>2</v>
      </c>
      <c r="S442" s="91">
        <f t="shared" si="164"/>
        <v>205</v>
      </c>
      <c r="T442" s="17">
        <f t="shared" si="165"/>
        <v>102</v>
      </c>
      <c r="U442" s="12">
        <v>26</v>
      </c>
      <c r="V442" s="16">
        <v>10</v>
      </c>
      <c r="W442" s="93">
        <f>I442+L442+O442+R442</f>
        <v>9</v>
      </c>
    </row>
    <row r="443" spans="1:23" ht="30" customHeight="1" thickBot="1" x14ac:dyDescent="0.3">
      <c r="A443" s="36" t="s">
        <v>204</v>
      </c>
      <c r="B443" s="351" t="s">
        <v>97</v>
      </c>
      <c r="C443" s="352"/>
      <c r="D443" s="352"/>
      <c r="E443" s="352"/>
      <c r="F443" s="353"/>
      <c r="G443" s="40">
        <f t="shared" ref="G443:H443" si="185">SUM(G438:G442)</f>
        <v>226</v>
      </c>
      <c r="H443" s="64">
        <f t="shared" si="185"/>
        <v>112</v>
      </c>
      <c r="I443" s="81">
        <f t="shared" ref="I443:W443" si="186">SUM(I438:I442)</f>
        <v>9.5</v>
      </c>
      <c r="J443" s="27">
        <v>226</v>
      </c>
      <c r="K443" s="81">
        <v>112</v>
      </c>
      <c r="L443" s="109">
        <f t="shared" si="186"/>
        <v>8.5</v>
      </c>
      <c r="M443" s="26">
        <f t="shared" si="186"/>
        <v>211</v>
      </c>
      <c r="N443" s="64">
        <f t="shared" si="186"/>
        <v>96</v>
      </c>
      <c r="O443" s="81">
        <f t="shared" si="186"/>
        <v>8</v>
      </c>
      <c r="P443" s="26">
        <f t="shared" si="186"/>
        <v>221</v>
      </c>
      <c r="Q443" s="64">
        <f t="shared" si="186"/>
        <v>109</v>
      </c>
      <c r="R443" s="81">
        <f t="shared" si="186"/>
        <v>8</v>
      </c>
      <c r="S443" s="42">
        <f t="shared" si="164"/>
        <v>884</v>
      </c>
      <c r="T443" s="95">
        <f t="shared" si="165"/>
        <v>429</v>
      </c>
      <c r="U443" s="25">
        <f t="shared" si="186"/>
        <v>54</v>
      </c>
      <c r="V443" s="84">
        <f t="shared" si="186"/>
        <v>23</v>
      </c>
      <c r="W443" s="85">
        <f t="shared" si="186"/>
        <v>34</v>
      </c>
    </row>
    <row r="444" spans="1:23" ht="30" customHeight="1" x14ac:dyDescent="0.25">
      <c r="A444" s="155" t="s">
        <v>204</v>
      </c>
      <c r="B444" s="39">
        <v>82</v>
      </c>
      <c r="C444" s="11" t="s">
        <v>58</v>
      </c>
      <c r="D444" s="113" t="s">
        <v>193</v>
      </c>
      <c r="E444" s="11" t="s">
        <v>19</v>
      </c>
      <c r="F444" s="145" t="s">
        <v>105</v>
      </c>
      <c r="G444" s="146">
        <v>97</v>
      </c>
      <c r="H444" s="145">
        <v>54</v>
      </c>
      <c r="I444" s="155">
        <v>4</v>
      </c>
      <c r="J444" s="154">
        <v>102</v>
      </c>
      <c r="K444" s="155">
        <v>59</v>
      </c>
      <c r="L444" s="155">
        <v>4</v>
      </c>
      <c r="M444" s="146">
        <v>88</v>
      </c>
      <c r="N444" s="145">
        <v>47</v>
      </c>
      <c r="O444" s="155">
        <v>4</v>
      </c>
      <c r="P444" s="146">
        <v>68</v>
      </c>
      <c r="Q444" s="145">
        <v>42</v>
      </c>
      <c r="R444" s="155">
        <v>3</v>
      </c>
      <c r="S444" s="98">
        <f t="shared" si="164"/>
        <v>355</v>
      </c>
      <c r="T444" s="78">
        <f t="shared" si="165"/>
        <v>202</v>
      </c>
      <c r="U444" s="79">
        <v>43</v>
      </c>
      <c r="V444" s="22">
        <v>22</v>
      </c>
      <c r="W444" s="80">
        <f>I444+L444+O444+R444</f>
        <v>15</v>
      </c>
    </row>
    <row r="445" spans="1:23" ht="30" customHeight="1" x14ac:dyDescent="0.25">
      <c r="A445" s="155" t="s">
        <v>204</v>
      </c>
      <c r="B445" s="164">
        <v>86</v>
      </c>
      <c r="C445" s="11" t="s">
        <v>49</v>
      </c>
      <c r="D445" s="285" t="s">
        <v>194</v>
      </c>
      <c r="E445" s="52" t="s">
        <v>214</v>
      </c>
      <c r="F445" s="153" t="s">
        <v>105</v>
      </c>
      <c r="G445" s="151">
        <v>56</v>
      </c>
      <c r="H445" s="153">
        <v>30</v>
      </c>
      <c r="I445" s="147">
        <v>2</v>
      </c>
      <c r="J445" s="286">
        <v>30</v>
      </c>
      <c r="K445" s="147">
        <v>19</v>
      </c>
      <c r="L445" s="147">
        <v>1</v>
      </c>
      <c r="M445" s="151">
        <v>53</v>
      </c>
      <c r="N445" s="153">
        <v>22</v>
      </c>
      <c r="O445" s="147">
        <v>2</v>
      </c>
      <c r="P445" s="151">
        <v>41</v>
      </c>
      <c r="Q445" s="153">
        <v>21</v>
      </c>
      <c r="R445" s="147">
        <v>2</v>
      </c>
      <c r="S445" s="98">
        <f t="shared" si="164"/>
        <v>180</v>
      </c>
      <c r="T445" s="78">
        <f t="shared" si="165"/>
        <v>92</v>
      </c>
      <c r="U445" s="101">
        <v>28</v>
      </c>
      <c r="V445" s="53">
        <v>12</v>
      </c>
      <c r="W445" s="80">
        <f>I445+L445+O445+R445</f>
        <v>7</v>
      </c>
    </row>
    <row r="446" spans="1:23" ht="30" customHeight="1" x14ac:dyDescent="0.25">
      <c r="A446" s="10" t="s">
        <v>204</v>
      </c>
      <c r="B446" s="47">
        <v>86</v>
      </c>
      <c r="C446" s="48" t="s">
        <v>49</v>
      </c>
      <c r="D446" s="113" t="s">
        <v>195</v>
      </c>
      <c r="E446" s="54" t="s">
        <v>37</v>
      </c>
      <c r="F446" s="145" t="s">
        <v>107</v>
      </c>
      <c r="G446" s="8">
        <v>57</v>
      </c>
      <c r="H446" s="9">
        <v>28</v>
      </c>
      <c r="I446" s="10">
        <v>3</v>
      </c>
      <c r="J446" s="92">
        <v>66</v>
      </c>
      <c r="K446" s="10">
        <v>31</v>
      </c>
      <c r="L446" s="10">
        <v>3</v>
      </c>
      <c r="M446" s="8">
        <v>46</v>
      </c>
      <c r="N446" s="9">
        <v>23</v>
      </c>
      <c r="O446" s="10">
        <v>2</v>
      </c>
      <c r="P446" s="8">
        <v>33</v>
      </c>
      <c r="Q446" s="9">
        <v>20</v>
      </c>
      <c r="R446" s="10">
        <v>2</v>
      </c>
      <c r="S446" s="91">
        <f t="shared" si="164"/>
        <v>202</v>
      </c>
      <c r="T446" s="17">
        <f t="shared" si="165"/>
        <v>102</v>
      </c>
      <c r="U446" s="12">
        <v>57</v>
      </c>
      <c r="V446" s="16">
        <v>27</v>
      </c>
      <c r="W446" s="93">
        <f>I446+L446+O446+R446</f>
        <v>10</v>
      </c>
    </row>
    <row r="447" spans="1:23" ht="30" customHeight="1" x14ac:dyDescent="0.25">
      <c r="A447" s="55" t="s">
        <v>204</v>
      </c>
      <c r="B447" s="160">
        <v>87</v>
      </c>
      <c r="C447" s="11" t="s">
        <v>68</v>
      </c>
      <c r="D447" s="285" t="s">
        <v>196</v>
      </c>
      <c r="E447" s="52" t="s">
        <v>132</v>
      </c>
      <c r="F447" s="153" t="s">
        <v>105</v>
      </c>
      <c r="G447" s="151">
        <v>96</v>
      </c>
      <c r="H447" s="153">
        <v>44</v>
      </c>
      <c r="I447" s="147">
        <v>4</v>
      </c>
      <c r="J447" s="286">
        <v>112</v>
      </c>
      <c r="K447" s="147">
        <v>60</v>
      </c>
      <c r="L447" s="147">
        <v>4</v>
      </c>
      <c r="M447" s="151">
        <v>99</v>
      </c>
      <c r="N447" s="153">
        <v>46</v>
      </c>
      <c r="O447" s="147">
        <v>4</v>
      </c>
      <c r="P447" s="151">
        <v>97</v>
      </c>
      <c r="Q447" s="153">
        <v>45</v>
      </c>
      <c r="R447" s="147">
        <v>4</v>
      </c>
      <c r="S447" s="98">
        <f t="shared" si="164"/>
        <v>404</v>
      </c>
      <c r="T447" s="78">
        <f t="shared" si="165"/>
        <v>195</v>
      </c>
      <c r="U447" s="101">
        <v>29</v>
      </c>
      <c r="V447" s="53">
        <v>17</v>
      </c>
      <c r="W447" s="80">
        <f>I447+L447+O447+R447</f>
        <v>16</v>
      </c>
    </row>
    <row r="448" spans="1:23" ht="30" customHeight="1" thickBot="1" x14ac:dyDescent="0.3">
      <c r="A448" s="36" t="s">
        <v>204</v>
      </c>
      <c r="B448" s="351" t="s">
        <v>99</v>
      </c>
      <c r="C448" s="352"/>
      <c r="D448" s="352"/>
      <c r="E448" s="352"/>
      <c r="F448" s="353"/>
      <c r="G448" s="40">
        <f t="shared" ref="G448:H448" si="187">SUM(G444:G447)</f>
        <v>306</v>
      </c>
      <c r="H448" s="64">
        <f t="shared" si="187"/>
        <v>156</v>
      </c>
      <c r="I448" s="81">
        <f t="shared" ref="I448:W448" si="188">SUM(I444:I447)</f>
        <v>13</v>
      </c>
      <c r="J448" s="27">
        <v>310</v>
      </c>
      <c r="K448" s="81">
        <v>169</v>
      </c>
      <c r="L448" s="96">
        <f t="shared" si="188"/>
        <v>12</v>
      </c>
      <c r="M448" s="26">
        <f t="shared" si="188"/>
        <v>286</v>
      </c>
      <c r="N448" s="64">
        <f t="shared" si="188"/>
        <v>138</v>
      </c>
      <c r="O448" s="81">
        <f t="shared" si="188"/>
        <v>12</v>
      </c>
      <c r="P448" s="26">
        <f t="shared" si="188"/>
        <v>239</v>
      </c>
      <c r="Q448" s="64">
        <f t="shared" si="188"/>
        <v>128</v>
      </c>
      <c r="R448" s="81">
        <f t="shared" si="188"/>
        <v>11</v>
      </c>
      <c r="S448" s="42">
        <f t="shared" si="164"/>
        <v>1141</v>
      </c>
      <c r="T448" s="95">
        <f t="shared" si="165"/>
        <v>591</v>
      </c>
      <c r="U448" s="25">
        <f t="shared" si="188"/>
        <v>157</v>
      </c>
      <c r="V448" s="84">
        <f t="shared" si="188"/>
        <v>78</v>
      </c>
      <c r="W448" s="85">
        <f t="shared" si="188"/>
        <v>48</v>
      </c>
    </row>
    <row r="449" spans="1:23" ht="30" customHeight="1" x14ac:dyDescent="0.25">
      <c r="A449" s="155" t="s">
        <v>204</v>
      </c>
      <c r="B449" s="164">
        <v>95</v>
      </c>
      <c r="C449" s="52" t="s">
        <v>62</v>
      </c>
      <c r="D449" s="285" t="s">
        <v>197</v>
      </c>
      <c r="E449" s="52" t="s">
        <v>22</v>
      </c>
      <c r="F449" s="153" t="s">
        <v>105</v>
      </c>
      <c r="G449" s="151">
        <v>40</v>
      </c>
      <c r="H449" s="153">
        <v>15</v>
      </c>
      <c r="I449" s="147">
        <v>2</v>
      </c>
      <c r="J449" s="286">
        <v>53</v>
      </c>
      <c r="K449" s="147">
        <v>24</v>
      </c>
      <c r="L449" s="147">
        <v>2</v>
      </c>
      <c r="M449" s="151">
        <v>48</v>
      </c>
      <c r="N449" s="153">
        <v>23</v>
      </c>
      <c r="O449" s="147">
        <v>2</v>
      </c>
      <c r="P449" s="151">
        <v>38</v>
      </c>
      <c r="Q449" s="153">
        <v>19</v>
      </c>
      <c r="R449" s="147">
        <v>2</v>
      </c>
      <c r="S449" s="98">
        <f t="shared" si="164"/>
        <v>179</v>
      </c>
      <c r="T449" s="78">
        <f t="shared" si="165"/>
        <v>81</v>
      </c>
      <c r="U449" s="101">
        <v>11</v>
      </c>
      <c r="V449" s="53">
        <v>6</v>
      </c>
      <c r="W449" s="80">
        <f>I449+L449+O449+R449</f>
        <v>8</v>
      </c>
    </row>
    <row r="450" spans="1:23" ht="30" customHeight="1" x14ac:dyDescent="0.25">
      <c r="A450" s="55" t="s">
        <v>204</v>
      </c>
      <c r="B450" s="39">
        <v>96</v>
      </c>
      <c r="C450" s="11" t="s">
        <v>51</v>
      </c>
      <c r="D450" s="113" t="s">
        <v>198</v>
      </c>
      <c r="E450" s="11" t="s">
        <v>213</v>
      </c>
      <c r="F450" s="145" t="s">
        <v>105</v>
      </c>
      <c r="G450" s="146">
        <v>15</v>
      </c>
      <c r="H450" s="145">
        <v>10</v>
      </c>
      <c r="I450" s="155">
        <v>1</v>
      </c>
      <c r="J450" s="154">
        <v>44</v>
      </c>
      <c r="K450" s="155">
        <v>16</v>
      </c>
      <c r="L450" s="155">
        <v>1</v>
      </c>
      <c r="M450" s="146">
        <v>24</v>
      </c>
      <c r="N450" s="145">
        <v>12</v>
      </c>
      <c r="O450" s="155">
        <v>1</v>
      </c>
      <c r="P450" s="146">
        <v>28</v>
      </c>
      <c r="Q450" s="145">
        <v>13</v>
      </c>
      <c r="R450" s="155">
        <v>1</v>
      </c>
      <c r="S450" s="98">
        <f t="shared" si="164"/>
        <v>111</v>
      </c>
      <c r="T450" s="78">
        <f t="shared" si="165"/>
        <v>51</v>
      </c>
      <c r="U450" s="79">
        <v>22</v>
      </c>
      <c r="V450" s="22">
        <v>11</v>
      </c>
      <c r="W450" s="80">
        <f>I450+L450+O450+R450</f>
        <v>4</v>
      </c>
    </row>
    <row r="451" spans="1:23" ht="30" customHeight="1" x14ac:dyDescent="0.25">
      <c r="A451" s="10" t="s">
        <v>204</v>
      </c>
      <c r="B451" s="47">
        <v>96</v>
      </c>
      <c r="C451" s="48" t="s">
        <v>51</v>
      </c>
      <c r="D451" s="113" t="s">
        <v>199</v>
      </c>
      <c r="E451" s="11" t="s">
        <v>42</v>
      </c>
      <c r="F451" s="153" t="s">
        <v>107</v>
      </c>
      <c r="G451" s="102">
        <v>61</v>
      </c>
      <c r="H451" s="103">
        <v>28</v>
      </c>
      <c r="I451" s="104">
        <v>3</v>
      </c>
      <c r="J451" s="287">
        <v>53</v>
      </c>
      <c r="K451" s="104">
        <v>23</v>
      </c>
      <c r="L451" s="104">
        <v>2</v>
      </c>
      <c r="M451" s="102">
        <v>59</v>
      </c>
      <c r="N451" s="103">
        <v>27</v>
      </c>
      <c r="O451" s="104">
        <v>2</v>
      </c>
      <c r="P451" s="102">
        <v>51</v>
      </c>
      <c r="Q451" s="103">
        <v>34</v>
      </c>
      <c r="R451" s="104">
        <v>2</v>
      </c>
      <c r="S451" s="91">
        <f t="shared" si="164"/>
        <v>224</v>
      </c>
      <c r="T451" s="17">
        <f t="shared" si="165"/>
        <v>112</v>
      </c>
      <c r="U451" s="105">
        <v>18</v>
      </c>
      <c r="V451" s="56">
        <v>7</v>
      </c>
      <c r="W451" s="93">
        <f>I451+L451+O451+R451</f>
        <v>9</v>
      </c>
    </row>
    <row r="452" spans="1:23" ht="30" customHeight="1" x14ac:dyDescent="0.25">
      <c r="A452" s="55" t="s">
        <v>204</v>
      </c>
      <c r="B452" s="39">
        <v>97</v>
      </c>
      <c r="C452" s="11" t="s">
        <v>61</v>
      </c>
      <c r="D452" s="113" t="s">
        <v>200</v>
      </c>
      <c r="E452" s="11" t="s">
        <v>138</v>
      </c>
      <c r="F452" s="145" t="s">
        <v>105</v>
      </c>
      <c r="G452" s="146">
        <v>103</v>
      </c>
      <c r="H452" s="145">
        <v>49</v>
      </c>
      <c r="I452" s="155">
        <v>4</v>
      </c>
      <c r="J452" s="154">
        <v>116</v>
      </c>
      <c r="K452" s="155">
        <v>56</v>
      </c>
      <c r="L452" s="155">
        <v>4</v>
      </c>
      <c r="M452" s="146">
        <v>87</v>
      </c>
      <c r="N452" s="145">
        <v>38</v>
      </c>
      <c r="O452" s="155">
        <v>4</v>
      </c>
      <c r="P452" s="146">
        <v>98</v>
      </c>
      <c r="Q452" s="145">
        <v>43</v>
      </c>
      <c r="R452" s="155">
        <v>4</v>
      </c>
      <c r="S452" s="98">
        <f t="shared" si="164"/>
        <v>404</v>
      </c>
      <c r="T452" s="78">
        <f t="shared" si="165"/>
        <v>186</v>
      </c>
      <c r="U452" s="79">
        <v>24</v>
      </c>
      <c r="V452" s="22">
        <v>10</v>
      </c>
      <c r="W452" s="80">
        <f>I452+L452+O452+R452</f>
        <v>16</v>
      </c>
    </row>
    <row r="453" spans="1:23" ht="30" customHeight="1" x14ac:dyDescent="0.25">
      <c r="A453" s="155" t="s">
        <v>204</v>
      </c>
      <c r="B453" s="39">
        <v>98</v>
      </c>
      <c r="C453" s="11" t="s">
        <v>52</v>
      </c>
      <c r="D453" s="113" t="s">
        <v>201</v>
      </c>
      <c r="E453" s="11" t="s">
        <v>14</v>
      </c>
      <c r="F453" s="145" t="s">
        <v>105</v>
      </c>
      <c r="G453" s="146">
        <v>64</v>
      </c>
      <c r="H453" s="145">
        <v>33</v>
      </c>
      <c r="I453" s="155">
        <v>3</v>
      </c>
      <c r="J453" s="154">
        <v>67</v>
      </c>
      <c r="K453" s="155">
        <v>38</v>
      </c>
      <c r="L453" s="155">
        <v>3</v>
      </c>
      <c r="M453" s="146">
        <v>62</v>
      </c>
      <c r="N453" s="152">
        <v>26</v>
      </c>
      <c r="O453" s="149">
        <v>3</v>
      </c>
      <c r="P453" s="146">
        <v>66</v>
      </c>
      <c r="Q453" s="145">
        <v>26</v>
      </c>
      <c r="R453" s="155">
        <v>3</v>
      </c>
      <c r="S453" s="98">
        <f t="shared" si="164"/>
        <v>259</v>
      </c>
      <c r="T453" s="78">
        <f t="shared" si="165"/>
        <v>123</v>
      </c>
      <c r="U453" s="79">
        <v>16</v>
      </c>
      <c r="V453" s="22">
        <v>6</v>
      </c>
      <c r="W453" s="80">
        <f>I453+L453+O453+R453</f>
        <v>12</v>
      </c>
    </row>
    <row r="454" spans="1:23" ht="30" customHeight="1" x14ac:dyDescent="0.25">
      <c r="A454" s="156" t="s">
        <v>204</v>
      </c>
      <c r="B454" s="39">
        <v>98</v>
      </c>
      <c r="C454" s="57" t="s">
        <v>52</v>
      </c>
      <c r="D454" s="288" t="s">
        <v>202</v>
      </c>
      <c r="E454" s="11" t="s">
        <v>16</v>
      </c>
      <c r="F454" s="145" t="s">
        <v>105</v>
      </c>
      <c r="G454" s="146">
        <v>20</v>
      </c>
      <c r="H454" s="145">
        <v>7</v>
      </c>
      <c r="I454" s="155">
        <v>1</v>
      </c>
      <c r="J454" s="154">
        <v>19</v>
      </c>
      <c r="K454" s="155">
        <v>12</v>
      </c>
      <c r="L454" s="155">
        <v>1</v>
      </c>
      <c r="M454" s="146">
        <v>24</v>
      </c>
      <c r="N454" s="145">
        <v>9</v>
      </c>
      <c r="O454" s="155">
        <v>1</v>
      </c>
      <c r="P454" s="146">
        <v>23</v>
      </c>
      <c r="Q454" s="145">
        <v>9</v>
      </c>
      <c r="R454" s="155">
        <v>1</v>
      </c>
      <c r="S454" s="98">
        <f t="shared" si="164"/>
        <v>86</v>
      </c>
      <c r="T454" s="78">
        <f t="shared" si="165"/>
        <v>37</v>
      </c>
      <c r="U454" s="79">
        <v>1</v>
      </c>
      <c r="V454" s="22">
        <v>0</v>
      </c>
      <c r="W454" s="80">
        <f>I454+L454+O454+R454</f>
        <v>4</v>
      </c>
    </row>
    <row r="455" spans="1:23" ht="30" customHeight="1" thickBot="1" x14ac:dyDescent="0.3">
      <c r="A455" s="149" t="s">
        <v>204</v>
      </c>
      <c r="B455" s="351" t="s">
        <v>100</v>
      </c>
      <c r="C455" s="352"/>
      <c r="D455" s="352"/>
      <c r="E455" s="352"/>
      <c r="F455" s="353"/>
      <c r="G455" s="40">
        <f t="shared" ref="G455:H455" si="189">SUM(G449:G454)</f>
        <v>303</v>
      </c>
      <c r="H455" s="64">
        <f t="shared" si="189"/>
        <v>142</v>
      </c>
      <c r="I455" s="81">
        <f t="shared" ref="I455:W455" si="190">SUM(I449:I454)</f>
        <v>14</v>
      </c>
      <c r="J455" s="27">
        <v>352</v>
      </c>
      <c r="K455" s="81">
        <v>169</v>
      </c>
      <c r="L455" s="96">
        <f t="shared" si="190"/>
        <v>13</v>
      </c>
      <c r="M455" s="26">
        <f t="shared" si="190"/>
        <v>304</v>
      </c>
      <c r="N455" s="64">
        <f t="shared" si="190"/>
        <v>135</v>
      </c>
      <c r="O455" s="81">
        <f t="shared" si="190"/>
        <v>13</v>
      </c>
      <c r="P455" s="26">
        <f t="shared" si="190"/>
        <v>304</v>
      </c>
      <c r="Q455" s="64">
        <f t="shared" si="190"/>
        <v>144</v>
      </c>
      <c r="R455" s="81">
        <f t="shared" si="190"/>
        <v>13</v>
      </c>
      <c r="S455" s="42">
        <f t="shared" si="164"/>
        <v>1263</v>
      </c>
      <c r="T455" s="95">
        <f t="shared" si="165"/>
        <v>590</v>
      </c>
      <c r="U455" s="25">
        <f t="shared" si="190"/>
        <v>92</v>
      </c>
      <c r="V455" s="84">
        <f t="shared" si="190"/>
        <v>40</v>
      </c>
      <c r="W455" s="85">
        <f t="shared" si="190"/>
        <v>53</v>
      </c>
    </row>
    <row r="456" spans="1:23" ht="30" customHeight="1" thickBot="1" x14ac:dyDescent="0.3">
      <c r="A456" s="58" t="s">
        <v>204</v>
      </c>
      <c r="B456" s="348" t="s">
        <v>102</v>
      </c>
      <c r="C456" s="349"/>
      <c r="D456" s="349"/>
      <c r="E456" s="349"/>
      <c r="F456" s="350"/>
      <c r="G456" s="40">
        <f t="shared" ref="G456:H456" si="191">G421+G430+G437+G443+G448+G455</f>
        <v>2439</v>
      </c>
      <c r="H456" s="40">
        <f t="shared" si="191"/>
        <v>1184</v>
      </c>
      <c r="I456" s="106">
        <f t="shared" ref="I456:W456" si="192">I421+I430+I437+I443+I448+I455</f>
        <v>108.25</v>
      </c>
      <c r="J456" s="40">
        <v>2698</v>
      </c>
      <c r="K456" s="40">
        <v>1346</v>
      </c>
      <c r="L456" s="107">
        <f t="shared" si="192"/>
        <v>103.25</v>
      </c>
      <c r="M456" s="40">
        <f t="shared" si="192"/>
        <v>2435</v>
      </c>
      <c r="N456" s="40">
        <f t="shared" si="192"/>
        <v>1160</v>
      </c>
      <c r="O456" s="107">
        <f t="shared" si="192"/>
        <v>100.75</v>
      </c>
      <c r="P456" s="40">
        <f t="shared" si="192"/>
        <v>2346</v>
      </c>
      <c r="Q456" s="40">
        <f t="shared" si="192"/>
        <v>1140</v>
      </c>
      <c r="R456" s="107">
        <f t="shared" si="192"/>
        <v>100.75</v>
      </c>
      <c r="S456" s="42">
        <f t="shared" ref="S456:S511" si="193">G456+J456+M456+P456</f>
        <v>9918</v>
      </c>
      <c r="T456" s="40">
        <f t="shared" ref="T456:T511" si="194">H456+K456+N456+Q456</f>
        <v>4830</v>
      </c>
      <c r="U456" s="40">
        <f t="shared" si="192"/>
        <v>1198</v>
      </c>
      <c r="V456" s="42">
        <f t="shared" si="192"/>
        <v>565</v>
      </c>
      <c r="W456" s="41">
        <f t="shared" si="192"/>
        <v>413</v>
      </c>
    </row>
    <row r="457" spans="1:23" ht="35.4" x14ac:dyDescent="0.25">
      <c r="A457" s="158" t="s">
        <v>216</v>
      </c>
      <c r="B457" s="162">
        <v>11</v>
      </c>
      <c r="C457" s="15" t="s">
        <v>48</v>
      </c>
      <c r="D457" s="278" t="s">
        <v>159</v>
      </c>
      <c r="E457" s="15" t="s">
        <v>221</v>
      </c>
      <c r="F457" s="158" t="s">
        <v>105</v>
      </c>
      <c r="G457" s="298">
        <v>24</v>
      </c>
      <c r="H457" s="158">
        <v>15</v>
      </c>
      <c r="I457" s="158">
        <v>1.25</v>
      </c>
      <c r="J457" s="279">
        <v>39</v>
      </c>
      <c r="K457" s="158">
        <v>17</v>
      </c>
      <c r="L457" s="158">
        <v>1.25</v>
      </c>
      <c r="M457" s="71">
        <v>34</v>
      </c>
      <c r="N457" s="72">
        <v>13</v>
      </c>
      <c r="O457" s="158">
        <v>1.25</v>
      </c>
      <c r="P457" s="71">
        <v>27</v>
      </c>
      <c r="Q457" s="72">
        <v>17</v>
      </c>
      <c r="R457" s="158">
        <v>1.25</v>
      </c>
      <c r="S457" s="73">
        <f t="shared" si="193"/>
        <v>124</v>
      </c>
      <c r="T457" s="299">
        <f t="shared" si="194"/>
        <v>62</v>
      </c>
      <c r="U457" s="75">
        <v>5</v>
      </c>
      <c r="V457" s="18">
        <v>4</v>
      </c>
      <c r="W457" s="76">
        <f>I457+L457+O457+R457</f>
        <v>5</v>
      </c>
    </row>
    <row r="458" spans="1:23" ht="30" customHeight="1" x14ac:dyDescent="0.25">
      <c r="A458" s="155" t="s">
        <v>216</v>
      </c>
      <c r="B458" s="20">
        <v>15</v>
      </c>
      <c r="C458" s="21" t="s">
        <v>64</v>
      </c>
      <c r="D458" s="280" t="s">
        <v>160</v>
      </c>
      <c r="E458" s="21" t="s">
        <v>24</v>
      </c>
      <c r="F458" s="155" t="s">
        <v>105</v>
      </c>
      <c r="G458" s="300">
        <v>28</v>
      </c>
      <c r="H458" s="23">
        <v>16</v>
      </c>
      <c r="I458" s="155">
        <v>1</v>
      </c>
      <c r="J458" s="154">
        <v>56</v>
      </c>
      <c r="K458" s="155">
        <v>24</v>
      </c>
      <c r="L458" s="155">
        <v>2</v>
      </c>
      <c r="M458" s="146">
        <v>46</v>
      </c>
      <c r="N458" s="145">
        <v>25</v>
      </c>
      <c r="O458" s="155">
        <v>2</v>
      </c>
      <c r="P458" s="146">
        <v>49</v>
      </c>
      <c r="Q458" s="145">
        <v>32</v>
      </c>
      <c r="R458" s="155">
        <v>2</v>
      </c>
      <c r="S458" s="77">
        <f t="shared" si="193"/>
        <v>179</v>
      </c>
      <c r="T458" s="301">
        <f t="shared" si="194"/>
        <v>97</v>
      </c>
      <c r="U458" s="79">
        <v>23</v>
      </c>
      <c r="V458" s="23">
        <v>13</v>
      </c>
      <c r="W458" s="80">
        <f>I458+L458+O458+R458</f>
        <v>7</v>
      </c>
    </row>
    <row r="459" spans="1:23" ht="30" customHeight="1" thickBot="1" x14ac:dyDescent="0.3">
      <c r="A459" s="36" t="s">
        <v>216</v>
      </c>
      <c r="B459" s="302" t="s">
        <v>92</v>
      </c>
      <c r="C459" s="303"/>
      <c r="D459" s="304"/>
      <c r="E459" s="305"/>
      <c r="F459" s="306"/>
      <c r="G459" s="307">
        <f t="shared" ref="G459:I459" si="195">G457+G458</f>
        <v>52</v>
      </c>
      <c r="H459" s="308">
        <f t="shared" si="195"/>
        <v>31</v>
      </c>
      <c r="I459" s="149">
        <f t="shared" si="195"/>
        <v>2.25</v>
      </c>
      <c r="J459" s="63">
        <f>SUM(J457:J458)</f>
        <v>95</v>
      </c>
      <c r="K459" s="149">
        <f t="shared" ref="K459:W459" si="196">SUM(K457:K458)</f>
        <v>41</v>
      </c>
      <c r="L459" s="81">
        <f t="shared" si="196"/>
        <v>3.25</v>
      </c>
      <c r="M459" s="26">
        <f t="shared" si="196"/>
        <v>80</v>
      </c>
      <c r="N459" s="64">
        <f t="shared" si="196"/>
        <v>38</v>
      </c>
      <c r="O459" s="81">
        <f t="shared" si="196"/>
        <v>3.25</v>
      </c>
      <c r="P459" s="26">
        <f t="shared" si="196"/>
        <v>76</v>
      </c>
      <c r="Q459" s="64">
        <f t="shared" si="196"/>
        <v>49</v>
      </c>
      <c r="R459" s="81">
        <f t="shared" si="196"/>
        <v>3.25</v>
      </c>
      <c r="S459" s="82">
        <f t="shared" si="196"/>
        <v>303</v>
      </c>
      <c r="T459" s="83">
        <f t="shared" si="196"/>
        <v>159</v>
      </c>
      <c r="U459" s="25">
        <f t="shared" si="196"/>
        <v>28</v>
      </c>
      <c r="V459" s="84">
        <f t="shared" si="196"/>
        <v>17</v>
      </c>
      <c r="W459" s="85">
        <f t="shared" si="196"/>
        <v>12</v>
      </c>
    </row>
    <row r="460" spans="1:23" ht="30" customHeight="1" x14ac:dyDescent="0.25">
      <c r="A460" s="29" t="s">
        <v>216</v>
      </c>
      <c r="B460" s="30">
        <v>22</v>
      </c>
      <c r="C460" s="31" t="s">
        <v>75</v>
      </c>
      <c r="D460" s="281" t="s">
        <v>166</v>
      </c>
      <c r="E460" s="31" t="s">
        <v>32</v>
      </c>
      <c r="F460" s="29" t="s">
        <v>106</v>
      </c>
      <c r="G460" s="88">
        <v>44</v>
      </c>
      <c r="H460" s="29">
        <v>21</v>
      </c>
      <c r="I460" s="309">
        <v>2</v>
      </c>
      <c r="J460" s="310">
        <v>57</v>
      </c>
      <c r="K460" s="309">
        <v>29</v>
      </c>
      <c r="L460" s="29">
        <v>2</v>
      </c>
      <c r="M460" s="86">
        <v>43</v>
      </c>
      <c r="N460" s="87">
        <v>26</v>
      </c>
      <c r="O460" s="29">
        <v>2</v>
      </c>
      <c r="P460" s="86">
        <v>53</v>
      </c>
      <c r="Q460" s="87">
        <v>26</v>
      </c>
      <c r="R460" s="29">
        <v>2</v>
      </c>
      <c r="S460" s="88">
        <f t="shared" si="193"/>
        <v>197</v>
      </c>
      <c r="T460" s="87">
        <f t="shared" si="194"/>
        <v>102</v>
      </c>
      <c r="U460" s="89">
        <v>20</v>
      </c>
      <c r="V460" s="32">
        <v>9</v>
      </c>
      <c r="W460" s="90">
        <f>I460+L460+O460+R460</f>
        <v>8</v>
      </c>
    </row>
    <row r="461" spans="1:23" ht="30" customHeight="1" x14ac:dyDescent="0.25">
      <c r="A461" s="155" t="s">
        <v>216</v>
      </c>
      <c r="B461" s="20">
        <v>24</v>
      </c>
      <c r="C461" s="21" t="s">
        <v>70</v>
      </c>
      <c r="D461" s="280" t="s">
        <v>165</v>
      </c>
      <c r="E461" s="21" t="s">
        <v>156</v>
      </c>
      <c r="F461" s="155" t="s">
        <v>105</v>
      </c>
      <c r="G461" s="154">
        <v>32</v>
      </c>
      <c r="H461" s="155">
        <v>17</v>
      </c>
      <c r="I461" s="155">
        <v>1.5</v>
      </c>
      <c r="J461" s="154">
        <v>37</v>
      </c>
      <c r="K461" s="155">
        <v>18</v>
      </c>
      <c r="L461" s="155">
        <v>1.5</v>
      </c>
      <c r="M461" s="146">
        <v>30</v>
      </c>
      <c r="N461" s="145">
        <v>16</v>
      </c>
      <c r="O461" s="155">
        <v>1.5</v>
      </c>
      <c r="P461" s="146">
        <v>37</v>
      </c>
      <c r="Q461" s="145">
        <v>18</v>
      </c>
      <c r="R461" s="155">
        <v>1.5</v>
      </c>
      <c r="S461" s="77">
        <f t="shared" si="193"/>
        <v>136</v>
      </c>
      <c r="T461" s="78">
        <f t="shared" si="194"/>
        <v>69</v>
      </c>
      <c r="U461" s="79">
        <v>43</v>
      </c>
      <c r="V461" s="23">
        <v>21</v>
      </c>
      <c r="W461" s="80">
        <f>I461+L461+O461+R461</f>
        <v>6</v>
      </c>
    </row>
    <row r="462" spans="1:23" ht="30" customHeight="1" x14ac:dyDescent="0.25">
      <c r="A462" s="10" t="s">
        <v>216</v>
      </c>
      <c r="B462" s="33">
        <v>25</v>
      </c>
      <c r="C462" s="34" t="s">
        <v>74</v>
      </c>
      <c r="D462" s="280" t="s">
        <v>167</v>
      </c>
      <c r="E462" s="21" t="s">
        <v>130</v>
      </c>
      <c r="F462" s="10" t="s">
        <v>106</v>
      </c>
      <c r="G462" s="92">
        <v>54</v>
      </c>
      <c r="H462" s="10">
        <v>32</v>
      </c>
      <c r="I462" s="10">
        <v>2</v>
      </c>
      <c r="J462" s="92">
        <v>55</v>
      </c>
      <c r="K462" s="10">
        <v>28</v>
      </c>
      <c r="L462" s="10">
        <v>2</v>
      </c>
      <c r="M462" s="91">
        <v>55</v>
      </c>
      <c r="N462" s="17">
        <v>34</v>
      </c>
      <c r="O462" s="10">
        <v>2</v>
      </c>
      <c r="P462" s="91">
        <v>56</v>
      </c>
      <c r="Q462" s="17">
        <v>28</v>
      </c>
      <c r="R462" s="10">
        <v>2</v>
      </c>
      <c r="S462" s="92">
        <f t="shared" si="193"/>
        <v>220</v>
      </c>
      <c r="T462" s="17">
        <f t="shared" si="194"/>
        <v>122</v>
      </c>
      <c r="U462" s="12">
        <v>3</v>
      </c>
      <c r="V462" s="35">
        <v>1</v>
      </c>
      <c r="W462" s="93">
        <f>I462+L462+O462+R462</f>
        <v>8</v>
      </c>
    </row>
    <row r="463" spans="1:23" ht="30" customHeight="1" x14ac:dyDescent="0.25">
      <c r="A463" s="155" t="s">
        <v>216</v>
      </c>
      <c r="B463" s="20">
        <v>27</v>
      </c>
      <c r="C463" s="21" t="s">
        <v>60</v>
      </c>
      <c r="D463" s="280" t="s">
        <v>168</v>
      </c>
      <c r="E463" s="21" t="s">
        <v>21</v>
      </c>
      <c r="F463" s="155" t="s">
        <v>105</v>
      </c>
      <c r="G463" s="154">
        <v>49</v>
      </c>
      <c r="H463" s="155">
        <v>27</v>
      </c>
      <c r="I463" s="155">
        <v>2</v>
      </c>
      <c r="J463" s="154">
        <v>54</v>
      </c>
      <c r="K463" s="155">
        <v>30</v>
      </c>
      <c r="L463" s="155">
        <v>2</v>
      </c>
      <c r="M463" s="146">
        <v>55</v>
      </c>
      <c r="N463" s="145">
        <v>26</v>
      </c>
      <c r="O463" s="155">
        <v>2</v>
      </c>
      <c r="P463" s="146">
        <v>57</v>
      </c>
      <c r="Q463" s="145">
        <v>24</v>
      </c>
      <c r="R463" s="155">
        <v>2</v>
      </c>
      <c r="S463" s="77">
        <f t="shared" si="193"/>
        <v>215</v>
      </c>
      <c r="T463" s="78">
        <f t="shared" si="194"/>
        <v>107</v>
      </c>
      <c r="U463" s="79">
        <v>13</v>
      </c>
      <c r="V463" s="23">
        <v>8</v>
      </c>
      <c r="W463" s="80">
        <f>I463+L463+O463+R463</f>
        <v>8</v>
      </c>
    </row>
    <row r="464" spans="1:23" ht="30" customHeight="1" x14ac:dyDescent="0.25">
      <c r="A464" s="10" t="s">
        <v>216</v>
      </c>
      <c r="B464" s="33">
        <v>27</v>
      </c>
      <c r="C464" s="34" t="s">
        <v>60</v>
      </c>
      <c r="D464" s="280" t="s">
        <v>169</v>
      </c>
      <c r="E464" s="34" t="s">
        <v>33</v>
      </c>
      <c r="F464" s="10" t="s">
        <v>106</v>
      </c>
      <c r="G464" s="92">
        <v>41</v>
      </c>
      <c r="H464" s="10">
        <v>27</v>
      </c>
      <c r="I464" s="10">
        <v>2</v>
      </c>
      <c r="J464" s="92">
        <v>29</v>
      </c>
      <c r="K464" s="10">
        <v>11</v>
      </c>
      <c r="L464" s="10">
        <v>1</v>
      </c>
      <c r="M464" s="91">
        <v>50</v>
      </c>
      <c r="N464" s="17">
        <v>33</v>
      </c>
      <c r="O464" s="10">
        <v>2</v>
      </c>
      <c r="P464" s="91">
        <v>56</v>
      </c>
      <c r="Q464" s="17">
        <v>24</v>
      </c>
      <c r="R464" s="10">
        <v>2</v>
      </c>
      <c r="S464" s="92">
        <f t="shared" si="193"/>
        <v>176</v>
      </c>
      <c r="T464" s="17">
        <f t="shared" si="194"/>
        <v>95</v>
      </c>
      <c r="U464" s="12">
        <v>21</v>
      </c>
      <c r="V464" s="35">
        <v>7</v>
      </c>
      <c r="W464" s="93">
        <f>I464+L464+O464+R464</f>
        <v>7</v>
      </c>
    </row>
    <row r="465" spans="1:23" ht="30" customHeight="1" thickBot="1" x14ac:dyDescent="0.3">
      <c r="A465" s="36" t="s">
        <v>216</v>
      </c>
      <c r="B465" s="302" t="s">
        <v>220</v>
      </c>
      <c r="C465" s="303"/>
      <c r="D465" s="303"/>
      <c r="E465" s="303"/>
      <c r="F465" s="311"/>
      <c r="G465" s="312">
        <f t="shared" ref="G465:W465" si="197">SUM(G460:G464)</f>
        <v>220</v>
      </c>
      <c r="H465" s="313">
        <f t="shared" si="197"/>
        <v>124</v>
      </c>
      <c r="I465" s="81">
        <f t="shared" si="197"/>
        <v>9.5</v>
      </c>
      <c r="J465" s="27">
        <f t="shared" si="197"/>
        <v>232</v>
      </c>
      <c r="K465" s="81">
        <f t="shared" si="197"/>
        <v>116</v>
      </c>
      <c r="L465" s="81">
        <f t="shared" si="197"/>
        <v>8.5</v>
      </c>
      <c r="M465" s="26">
        <f t="shared" si="197"/>
        <v>233</v>
      </c>
      <c r="N465" s="64">
        <f t="shared" si="197"/>
        <v>135</v>
      </c>
      <c r="O465" s="81">
        <f t="shared" si="197"/>
        <v>9.5</v>
      </c>
      <c r="P465" s="26">
        <f t="shared" si="197"/>
        <v>259</v>
      </c>
      <c r="Q465" s="64">
        <f t="shared" si="197"/>
        <v>120</v>
      </c>
      <c r="R465" s="81">
        <f t="shared" si="197"/>
        <v>9.5</v>
      </c>
      <c r="S465" s="82">
        <f t="shared" si="197"/>
        <v>944</v>
      </c>
      <c r="T465" s="83">
        <f t="shared" si="197"/>
        <v>495</v>
      </c>
      <c r="U465" s="25">
        <f t="shared" si="197"/>
        <v>100</v>
      </c>
      <c r="V465" s="84">
        <f t="shared" si="197"/>
        <v>46</v>
      </c>
      <c r="W465" s="85">
        <f t="shared" si="197"/>
        <v>37</v>
      </c>
    </row>
    <row r="466" spans="1:23" ht="30" customHeight="1" x14ac:dyDescent="0.25">
      <c r="A466" s="10" t="s">
        <v>216</v>
      </c>
      <c r="B466" s="33">
        <v>31</v>
      </c>
      <c r="C466" s="34" t="s">
        <v>79</v>
      </c>
      <c r="D466" s="280" t="s">
        <v>163</v>
      </c>
      <c r="E466" s="21" t="s">
        <v>36</v>
      </c>
      <c r="F466" s="155" t="s">
        <v>107</v>
      </c>
      <c r="G466" s="154">
        <v>57</v>
      </c>
      <c r="H466" s="155">
        <v>31</v>
      </c>
      <c r="I466" s="29">
        <v>2</v>
      </c>
      <c r="J466" s="88">
        <v>48</v>
      </c>
      <c r="K466" s="29">
        <v>21</v>
      </c>
      <c r="L466" s="10">
        <v>2</v>
      </c>
      <c r="M466" s="8">
        <v>43</v>
      </c>
      <c r="N466" s="9">
        <v>24</v>
      </c>
      <c r="O466" s="10">
        <v>2</v>
      </c>
      <c r="P466" s="8">
        <v>40</v>
      </c>
      <c r="Q466" s="9">
        <v>20</v>
      </c>
      <c r="R466" s="10">
        <v>2</v>
      </c>
      <c r="S466" s="92">
        <f t="shared" si="193"/>
        <v>188</v>
      </c>
      <c r="T466" s="17">
        <f t="shared" si="194"/>
        <v>96</v>
      </c>
      <c r="U466" s="12">
        <v>17</v>
      </c>
      <c r="V466" s="35">
        <v>9</v>
      </c>
      <c r="W466" s="93">
        <f>I466+L466+O466+R466</f>
        <v>8</v>
      </c>
    </row>
    <row r="467" spans="1:23" ht="30" customHeight="1" x14ac:dyDescent="0.25">
      <c r="A467" s="10" t="s">
        <v>216</v>
      </c>
      <c r="B467" s="33">
        <v>32</v>
      </c>
      <c r="C467" s="34" t="s">
        <v>85</v>
      </c>
      <c r="D467" s="280" t="s">
        <v>164</v>
      </c>
      <c r="E467" s="21" t="s">
        <v>137</v>
      </c>
      <c r="F467" s="155" t="s">
        <v>107</v>
      </c>
      <c r="G467" s="154">
        <v>55</v>
      </c>
      <c r="H467" s="155">
        <v>31</v>
      </c>
      <c r="I467" s="10">
        <v>2</v>
      </c>
      <c r="J467" s="92">
        <v>54</v>
      </c>
      <c r="K467" s="10">
        <v>23</v>
      </c>
      <c r="L467" s="10">
        <v>2</v>
      </c>
      <c r="M467" s="8">
        <v>50</v>
      </c>
      <c r="N467" s="9">
        <v>21</v>
      </c>
      <c r="O467" s="10">
        <v>2</v>
      </c>
      <c r="P467" s="8">
        <v>64</v>
      </c>
      <c r="Q467" s="9">
        <v>30</v>
      </c>
      <c r="R467" s="10">
        <v>3</v>
      </c>
      <c r="S467" s="92">
        <f t="shared" si="193"/>
        <v>223</v>
      </c>
      <c r="T467" s="17">
        <f t="shared" si="194"/>
        <v>105</v>
      </c>
      <c r="U467" s="12">
        <v>38</v>
      </c>
      <c r="V467" s="35">
        <v>15</v>
      </c>
      <c r="W467" s="93">
        <f>I467+L467+O467+R467</f>
        <v>9</v>
      </c>
    </row>
    <row r="468" spans="1:23" ht="30" customHeight="1" x14ac:dyDescent="0.25">
      <c r="A468" s="155" t="s">
        <v>216</v>
      </c>
      <c r="B468" s="20">
        <v>33</v>
      </c>
      <c r="C468" s="21" t="s">
        <v>57</v>
      </c>
      <c r="D468" s="280" t="s">
        <v>161</v>
      </c>
      <c r="E468" s="21" t="s">
        <v>18</v>
      </c>
      <c r="F468" s="155" t="s">
        <v>105</v>
      </c>
      <c r="G468" s="154">
        <v>33</v>
      </c>
      <c r="H468" s="155">
        <v>17</v>
      </c>
      <c r="I468" s="155">
        <v>2</v>
      </c>
      <c r="J468" s="154">
        <v>41</v>
      </c>
      <c r="K468" s="155">
        <v>18</v>
      </c>
      <c r="L468" s="155">
        <v>2</v>
      </c>
      <c r="M468" s="146">
        <v>33</v>
      </c>
      <c r="N468" s="145">
        <v>14</v>
      </c>
      <c r="O468" s="155">
        <v>2</v>
      </c>
      <c r="P468" s="146">
        <v>45</v>
      </c>
      <c r="Q468" s="145">
        <v>21</v>
      </c>
      <c r="R468" s="155">
        <v>2</v>
      </c>
      <c r="S468" s="77">
        <f t="shared" si="193"/>
        <v>152</v>
      </c>
      <c r="T468" s="78">
        <f t="shared" si="194"/>
        <v>70</v>
      </c>
      <c r="U468" s="79">
        <v>26</v>
      </c>
      <c r="V468" s="23">
        <v>9</v>
      </c>
      <c r="W468" s="80">
        <f>I468+L468+O468+R468</f>
        <v>8</v>
      </c>
    </row>
    <row r="469" spans="1:23" ht="30" customHeight="1" x14ac:dyDescent="0.25">
      <c r="A469" s="155" t="s">
        <v>216</v>
      </c>
      <c r="B469" s="20">
        <v>34</v>
      </c>
      <c r="C469" s="21" t="s">
        <v>54</v>
      </c>
      <c r="D469" s="280" t="s">
        <v>162</v>
      </c>
      <c r="E469" s="21" t="s">
        <v>15</v>
      </c>
      <c r="F469" s="155" t="s">
        <v>105</v>
      </c>
      <c r="G469" s="154">
        <v>64</v>
      </c>
      <c r="H469" s="155">
        <v>30</v>
      </c>
      <c r="I469" s="155">
        <v>3</v>
      </c>
      <c r="J469" s="154">
        <v>63</v>
      </c>
      <c r="K469" s="155">
        <v>38</v>
      </c>
      <c r="L469" s="155">
        <v>3</v>
      </c>
      <c r="M469" s="146">
        <v>69</v>
      </c>
      <c r="N469" s="145">
        <v>33</v>
      </c>
      <c r="O469" s="155">
        <v>3</v>
      </c>
      <c r="P469" s="146">
        <v>58</v>
      </c>
      <c r="Q469" s="145">
        <v>29</v>
      </c>
      <c r="R469" s="155">
        <v>2</v>
      </c>
      <c r="S469" s="77">
        <f t="shared" si="193"/>
        <v>254</v>
      </c>
      <c r="T469" s="78">
        <f t="shared" si="194"/>
        <v>130</v>
      </c>
      <c r="U469" s="79">
        <v>39</v>
      </c>
      <c r="V469" s="23">
        <v>21</v>
      </c>
      <c r="W469" s="80">
        <f>I469+L469+O469+R469</f>
        <v>11</v>
      </c>
    </row>
    <row r="470" spans="1:23" ht="30" customHeight="1" thickBot="1" x14ac:dyDescent="0.3">
      <c r="A470" s="36" t="s">
        <v>216</v>
      </c>
      <c r="B470" s="314" t="s">
        <v>93</v>
      </c>
      <c r="C470" s="303"/>
      <c r="D470" s="303"/>
      <c r="E470" s="315"/>
      <c r="F470" s="311"/>
      <c r="G470" s="313">
        <f t="shared" ref="G470:W470" si="198">SUM(G466:G469)</f>
        <v>209</v>
      </c>
      <c r="H470" s="313">
        <f t="shared" si="198"/>
        <v>109</v>
      </c>
      <c r="I470" s="81">
        <f t="shared" si="198"/>
        <v>9</v>
      </c>
      <c r="J470" s="27">
        <f t="shared" si="198"/>
        <v>206</v>
      </c>
      <c r="K470" s="81">
        <f t="shared" si="198"/>
        <v>100</v>
      </c>
      <c r="L470" s="81">
        <f t="shared" si="198"/>
        <v>9</v>
      </c>
      <c r="M470" s="26">
        <f t="shared" si="198"/>
        <v>195</v>
      </c>
      <c r="N470" s="64">
        <f t="shared" si="198"/>
        <v>92</v>
      </c>
      <c r="O470" s="81">
        <f t="shared" si="198"/>
        <v>9</v>
      </c>
      <c r="P470" s="26">
        <f t="shared" si="198"/>
        <v>207</v>
      </c>
      <c r="Q470" s="64">
        <f t="shared" si="198"/>
        <v>100</v>
      </c>
      <c r="R470" s="81">
        <f t="shared" si="198"/>
        <v>9</v>
      </c>
      <c r="S470" s="82">
        <f t="shared" si="198"/>
        <v>817</v>
      </c>
      <c r="T470" s="83">
        <f t="shared" si="198"/>
        <v>401</v>
      </c>
      <c r="U470" s="25">
        <f t="shared" si="198"/>
        <v>120</v>
      </c>
      <c r="V470" s="84">
        <f t="shared" si="198"/>
        <v>54</v>
      </c>
      <c r="W470" s="85">
        <f t="shared" si="198"/>
        <v>36</v>
      </c>
    </row>
    <row r="471" spans="1:23" ht="30" customHeight="1" x14ac:dyDescent="0.25">
      <c r="A471" s="155" t="s">
        <v>216</v>
      </c>
      <c r="B471" s="20">
        <v>45</v>
      </c>
      <c r="C471" s="21" t="s">
        <v>65</v>
      </c>
      <c r="D471" s="280" t="s">
        <v>170</v>
      </c>
      <c r="E471" s="21" t="s">
        <v>25</v>
      </c>
      <c r="F471" s="155" t="s">
        <v>105</v>
      </c>
      <c r="G471" s="154">
        <v>42</v>
      </c>
      <c r="H471" s="155">
        <v>25</v>
      </c>
      <c r="I471" s="44">
        <v>2</v>
      </c>
      <c r="J471" s="294">
        <v>52</v>
      </c>
      <c r="K471" s="44">
        <v>27</v>
      </c>
      <c r="L471" s="155">
        <v>2</v>
      </c>
      <c r="M471" s="146">
        <v>50</v>
      </c>
      <c r="N471" s="145">
        <v>30</v>
      </c>
      <c r="O471" s="155">
        <v>2</v>
      </c>
      <c r="P471" s="146">
        <v>56</v>
      </c>
      <c r="Q471" s="145">
        <v>28</v>
      </c>
      <c r="R471" s="155">
        <v>2</v>
      </c>
      <c r="S471" s="77">
        <f t="shared" si="193"/>
        <v>200</v>
      </c>
      <c r="T471" s="78">
        <f t="shared" si="194"/>
        <v>110</v>
      </c>
      <c r="U471" s="79">
        <v>17</v>
      </c>
      <c r="V471" s="23">
        <v>8</v>
      </c>
      <c r="W471" s="80">
        <f>I471+L471+O471+R471</f>
        <v>8</v>
      </c>
    </row>
    <row r="472" spans="1:23" ht="30" customHeight="1" x14ac:dyDescent="0.25">
      <c r="A472" s="10" t="s">
        <v>216</v>
      </c>
      <c r="B472" s="33">
        <v>45</v>
      </c>
      <c r="C472" s="34" t="s">
        <v>65</v>
      </c>
      <c r="D472" s="280" t="s">
        <v>171</v>
      </c>
      <c r="E472" s="21" t="s">
        <v>43</v>
      </c>
      <c r="F472" s="155" t="s">
        <v>107</v>
      </c>
      <c r="G472" s="154">
        <v>44</v>
      </c>
      <c r="H472" s="155">
        <v>24</v>
      </c>
      <c r="I472" s="10">
        <v>2</v>
      </c>
      <c r="J472" s="92">
        <v>56</v>
      </c>
      <c r="K472" s="10">
        <v>24</v>
      </c>
      <c r="L472" s="10">
        <v>2</v>
      </c>
      <c r="M472" s="8">
        <v>25</v>
      </c>
      <c r="N472" s="17">
        <v>8</v>
      </c>
      <c r="O472" s="10">
        <v>1</v>
      </c>
      <c r="P472" s="8">
        <v>41</v>
      </c>
      <c r="Q472" s="9">
        <v>21</v>
      </c>
      <c r="R472" s="10">
        <v>2</v>
      </c>
      <c r="S472" s="92">
        <f t="shared" si="193"/>
        <v>166</v>
      </c>
      <c r="T472" s="17">
        <f t="shared" si="194"/>
        <v>77</v>
      </c>
      <c r="U472" s="12">
        <v>18</v>
      </c>
      <c r="V472" s="35">
        <v>7</v>
      </c>
      <c r="W472" s="93">
        <f>I472+L472+O472+R472</f>
        <v>7</v>
      </c>
    </row>
    <row r="473" spans="1:23" ht="30" customHeight="1" x14ac:dyDescent="0.25">
      <c r="A473" s="155" t="s">
        <v>216</v>
      </c>
      <c r="B473" s="20">
        <v>46</v>
      </c>
      <c r="C473" s="21" t="s">
        <v>73</v>
      </c>
      <c r="D473" s="280" t="s">
        <v>172</v>
      </c>
      <c r="E473" s="21" t="s">
        <v>30</v>
      </c>
      <c r="F473" s="155" t="s">
        <v>105</v>
      </c>
      <c r="G473" s="154">
        <v>62</v>
      </c>
      <c r="H473" s="155">
        <v>27</v>
      </c>
      <c r="I473" s="155">
        <v>3</v>
      </c>
      <c r="J473" s="154">
        <v>84</v>
      </c>
      <c r="K473" s="155">
        <v>39</v>
      </c>
      <c r="L473" s="155">
        <v>3</v>
      </c>
      <c r="M473" s="146">
        <v>72</v>
      </c>
      <c r="N473" s="145">
        <v>37</v>
      </c>
      <c r="O473" s="155">
        <v>3</v>
      </c>
      <c r="P473" s="146">
        <v>63</v>
      </c>
      <c r="Q473" s="145">
        <v>29</v>
      </c>
      <c r="R473" s="155">
        <v>3</v>
      </c>
      <c r="S473" s="77">
        <f t="shared" si="193"/>
        <v>281</v>
      </c>
      <c r="T473" s="78">
        <f t="shared" si="194"/>
        <v>132</v>
      </c>
      <c r="U473" s="79">
        <v>43</v>
      </c>
      <c r="V473" s="23">
        <v>19</v>
      </c>
      <c r="W473" s="80">
        <f>I473+L473+O473+R473</f>
        <v>12</v>
      </c>
    </row>
    <row r="474" spans="1:23" ht="30" customHeight="1" x14ac:dyDescent="0.25">
      <c r="A474" s="155" t="s">
        <v>216</v>
      </c>
      <c r="B474" s="20">
        <v>47</v>
      </c>
      <c r="C474" s="21" t="s">
        <v>53</v>
      </c>
      <c r="D474" s="280" t="s">
        <v>173</v>
      </c>
      <c r="E474" s="21" t="s">
        <v>133</v>
      </c>
      <c r="F474" s="155" t="s">
        <v>105</v>
      </c>
      <c r="G474" s="154">
        <v>65</v>
      </c>
      <c r="H474" s="155">
        <v>25</v>
      </c>
      <c r="I474" s="155">
        <v>3</v>
      </c>
      <c r="J474" s="154">
        <v>88</v>
      </c>
      <c r="K474" s="155">
        <v>39</v>
      </c>
      <c r="L474" s="155">
        <v>3</v>
      </c>
      <c r="M474" s="146">
        <v>64</v>
      </c>
      <c r="N474" s="145">
        <v>30</v>
      </c>
      <c r="O474" s="155">
        <v>3</v>
      </c>
      <c r="P474" s="146">
        <v>74</v>
      </c>
      <c r="Q474" s="145">
        <v>42</v>
      </c>
      <c r="R474" s="155">
        <v>3</v>
      </c>
      <c r="S474" s="77">
        <f t="shared" si="193"/>
        <v>291</v>
      </c>
      <c r="T474" s="78">
        <f t="shared" si="194"/>
        <v>136</v>
      </c>
      <c r="U474" s="79">
        <v>43</v>
      </c>
      <c r="V474" s="23">
        <v>25</v>
      </c>
      <c r="W474" s="80">
        <f>I474+L474+O474+R474</f>
        <v>12</v>
      </c>
    </row>
    <row r="475" spans="1:23" ht="30" customHeight="1" thickBot="1" x14ac:dyDescent="0.3">
      <c r="A475" s="149" t="s">
        <v>216</v>
      </c>
      <c r="B475" s="314" t="s">
        <v>94</v>
      </c>
      <c r="C475" s="303"/>
      <c r="D475" s="303"/>
      <c r="E475" s="315"/>
      <c r="F475" s="311"/>
      <c r="G475" s="312">
        <f>SUM(G471:G474)</f>
        <v>213</v>
      </c>
      <c r="H475" s="308">
        <f t="shared" ref="H475:W475" si="199">SUM(H471:H474)</f>
        <v>101</v>
      </c>
      <c r="I475" s="308">
        <f t="shared" si="199"/>
        <v>10</v>
      </c>
      <c r="J475" s="313">
        <f t="shared" si="199"/>
        <v>280</v>
      </c>
      <c r="K475" s="308">
        <f t="shared" si="199"/>
        <v>129</v>
      </c>
      <c r="L475" s="308">
        <f t="shared" si="199"/>
        <v>10</v>
      </c>
      <c r="M475" s="313">
        <f t="shared" si="199"/>
        <v>211</v>
      </c>
      <c r="N475" s="308">
        <f t="shared" si="199"/>
        <v>105</v>
      </c>
      <c r="O475" s="308">
        <f t="shared" si="199"/>
        <v>9</v>
      </c>
      <c r="P475" s="313">
        <f t="shared" si="199"/>
        <v>234</v>
      </c>
      <c r="Q475" s="308">
        <f t="shared" si="199"/>
        <v>120</v>
      </c>
      <c r="R475" s="308">
        <f t="shared" si="199"/>
        <v>10</v>
      </c>
      <c r="S475" s="313">
        <f t="shared" si="199"/>
        <v>938</v>
      </c>
      <c r="T475" s="308">
        <f t="shared" si="199"/>
        <v>455</v>
      </c>
      <c r="U475" s="308">
        <f t="shared" si="199"/>
        <v>121</v>
      </c>
      <c r="V475" s="308">
        <f t="shared" si="199"/>
        <v>59</v>
      </c>
      <c r="W475" s="316">
        <f t="shared" si="199"/>
        <v>39</v>
      </c>
    </row>
    <row r="476" spans="1:23" ht="30" customHeight="1" thickBot="1" x14ac:dyDescent="0.3">
      <c r="A476" s="43" t="s">
        <v>216</v>
      </c>
      <c r="B476" s="317" t="s">
        <v>95</v>
      </c>
      <c r="C476" s="318"/>
      <c r="D476" s="318"/>
      <c r="E476" s="319"/>
      <c r="F476" s="320"/>
      <c r="G476" s="321">
        <f>G459+G465+G470+G475</f>
        <v>694</v>
      </c>
      <c r="H476" s="322">
        <f t="shared" ref="H476:W476" si="200">H459+H465+H470+H475</f>
        <v>365</v>
      </c>
      <c r="I476" s="323">
        <f t="shared" si="200"/>
        <v>30.75</v>
      </c>
      <c r="J476" s="324">
        <f t="shared" si="200"/>
        <v>813</v>
      </c>
      <c r="K476" s="323">
        <f t="shared" si="200"/>
        <v>386</v>
      </c>
      <c r="L476" s="94">
        <f t="shared" si="200"/>
        <v>30.75</v>
      </c>
      <c r="M476" s="26">
        <f t="shared" si="200"/>
        <v>719</v>
      </c>
      <c r="N476" s="64">
        <f t="shared" si="200"/>
        <v>370</v>
      </c>
      <c r="O476" s="81">
        <f t="shared" si="200"/>
        <v>30.75</v>
      </c>
      <c r="P476" s="26">
        <f t="shared" si="200"/>
        <v>776</v>
      </c>
      <c r="Q476" s="64">
        <f t="shared" si="200"/>
        <v>389</v>
      </c>
      <c r="R476" s="81">
        <f t="shared" si="200"/>
        <v>31.75</v>
      </c>
      <c r="S476" s="42">
        <f t="shared" si="200"/>
        <v>3002</v>
      </c>
      <c r="T476" s="95">
        <f t="shared" si="200"/>
        <v>1510</v>
      </c>
      <c r="U476" s="25">
        <f t="shared" si="200"/>
        <v>369</v>
      </c>
      <c r="V476" s="84">
        <f t="shared" si="200"/>
        <v>176</v>
      </c>
      <c r="W476" s="85">
        <f t="shared" si="200"/>
        <v>124</v>
      </c>
    </row>
    <row r="477" spans="1:23" ht="30" customHeight="1" x14ac:dyDescent="0.25">
      <c r="A477" s="44" t="s">
        <v>216</v>
      </c>
      <c r="B477" s="20">
        <v>51</v>
      </c>
      <c r="C477" s="21" t="s">
        <v>66</v>
      </c>
      <c r="D477" s="280" t="s">
        <v>174</v>
      </c>
      <c r="E477" s="21" t="s">
        <v>26</v>
      </c>
      <c r="F477" s="155" t="s">
        <v>105</v>
      </c>
      <c r="G477" s="154">
        <v>62</v>
      </c>
      <c r="H477" s="155">
        <v>28</v>
      </c>
      <c r="I477" s="158">
        <v>3</v>
      </c>
      <c r="J477" s="279">
        <v>70</v>
      </c>
      <c r="K477" s="158">
        <v>29</v>
      </c>
      <c r="L477" s="155">
        <v>3</v>
      </c>
      <c r="M477" s="146">
        <v>72</v>
      </c>
      <c r="N477" s="145">
        <v>38</v>
      </c>
      <c r="O477" s="155">
        <v>3</v>
      </c>
      <c r="P477" s="146">
        <v>64</v>
      </c>
      <c r="Q477" s="145">
        <v>35</v>
      </c>
      <c r="R477" s="155">
        <v>3</v>
      </c>
      <c r="S477" s="77">
        <f t="shared" si="193"/>
        <v>268</v>
      </c>
      <c r="T477" s="78">
        <f t="shared" si="194"/>
        <v>130</v>
      </c>
      <c r="U477" s="79">
        <v>67</v>
      </c>
      <c r="V477" s="23">
        <v>34</v>
      </c>
      <c r="W477" s="80">
        <f>I477+L477+O477+R477</f>
        <v>12</v>
      </c>
    </row>
    <row r="478" spans="1:23" ht="30" customHeight="1" x14ac:dyDescent="0.25">
      <c r="A478" s="10" t="s">
        <v>216</v>
      </c>
      <c r="B478" s="33">
        <v>51</v>
      </c>
      <c r="C478" s="34" t="s">
        <v>66</v>
      </c>
      <c r="D478" s="280" t="s">
        <v>175</v>
      </c>
      <c r="E478" s="21" t="s">
        <v>41</v>
      </c>
      <c r="F478" s="155" t="s">
        <v>107</v>
      </c>
      <c r="G478" s="154">
        <v>72</v>
      </c>
      <c r="H478" s="155">
        <v>31</v>
      </c>
      <c r="I478" s="10">
        <v>3</v>
      </c>
      <c r="J478" s="92">
        <v>82</v>
      </c>
      <c r="K478" s="10">
        <v>40</v>
      </c>
      <c r="L478" s="10">
        <v>3</v>
      </c>
      <c r="M478" s="8">
        <v>79</v>
      </c>
      <c r="N478" s="9">
        <v>35</v>
      </c>
      <c r="O478" s="10">
        <v>3</v>
      </c>
      <c r="P478" s="8">
        <v>77</v>
      </c>
      <c r="Q478" s="9">
        <v>31</v>
      </c>
      <c r="R478" s="10">
        <v>3</v>
      </c>
      <c r="S478" s="92">
        <f t="shared" si="193"/>
        <v>310</v>
      </c>
      <c r="T478" s="17">
        <f t="shared" si="194"/>
        <v>137</v>
      </c>
      <c r="U478" s="12">
        <v>23</v>
      </c>
      <c r="V478" s="35">
        <v>10</v>
      </c>
      <c r="W478" s="93">
        <f>I478+L478+O478+R478</f>
        <v>12</v>
      </c>
    </row>
    <row r="479" spans="1:23" ht="30" customHeight="1" x14ac:dyDescent="0.25">
      <c r="A479" s="10" t="s">
        <v>216</v>
      </c>
      <c r="B479" s="33">
        <v>51</v>
      </c>
      <c r="C479" s="34" t="s">
        <v>66</v>
      </c>
      <c r="D479" s="280" t="s">
        <v>176</v>
      </c>
      <c r="E479" s="21" t="s">
        <v>206</v>
      </c>
      <c r="F479" s="155" t="s">
        <v>106</v>
      </c>
      <c r="G479" s="154">
        <v>83</v>
      </c>
      <c r="H479" s="155">
        <v>45</v>
      </c>
      <c r="I479" s="10">
        <v>4</v>
      </c>
      <c r="J479" s="92">
        <v>114</v>
      </c>
      <c r="K479" s="10">
        <v>62</v>
      </c>
      <c r="L479" s="10">
        <v>4</v>
      </c>
      <c r="M479" s="91">
        <v>81</v>
      </c>
      <c r="N479" s="17">
        <v>49</v>
      </c>
      <c r="O479" s="10">
        <v>4</v>
      </c>
      <c r="P479" s="91">
        <v>107</v>
      </c>
      <c r="Q479" s="17">
        <v>51</v>
      </c>
      <c r="R479" s="10">
        <v>4</v>
      </c>
      <c r="S479" s="92">
        <f t="shared" si="193"/>
        <v>385</v>
      </c>
      <c r="T479" s="17">
        <f t="shared" si="194"/>
        <v>207</v>
      </c>
      <c r="U479" s="12">
        <v>42</v>
      </c>
      <c r="V479" s="35">
        <v>25</v>
      </c>
      <c r="W479" s="93">
        <f>I479+L479+O479+R479</f>
        <v>16</v>
      </c>
    </row>
    <row r="480" spans="1:23" ht="30" customHeight="1" x14ac:dyDescent="0.25">
      <c r="A480" s="155" t="s">
        <v>216</v>
      </c>
      <c r="B480" s="20">
        <v>52</v>
      </c>
      <c r="C480" s="21" t="s">
        <v>72</v>
      </c>
      <c r="D480" s="280" t="s">
        <v>177</v>
      </c>
      <c r="E480" s="21" t="s">
        <v>29</v>
      </c>
      <c r="F480" s="155" t="s">
        <v>105</v>
      </c>
      <c r="G480" s="154">
        <v>48</v>
      </c>
      <c r="H480" s="155">
        <v>28</v>
      </c>
      <c r="I480" s="155">
        <v>2</v>
      </c>
      <c r="J480" s="154">
        <v>36</v>
      </c>
      <c r="K480" s="155">
        <v>13</v>
      </c>
      <c r="L480" s="155">
        <v>2</v>
      </c>
      <c r="M480" s="146">
        <v>45</v>
      </c>
      <c r="N480" s="145">
        <v>22</v>
      </c>
      <c r="O480" s="155">
        <v>2</v>
      </c>
      <c r="P480" s="146">
        <v>54</v>
      </c>
      <c r="Q480" s="145">
        <v>31</v>
      </c>
      <c r="R480" s="155">
        <v>2</v>
      </c>
      <c r="S480" s="77">
        <f t="shared" si="193"/>
        <v>183</v>
      </c>
      <c r="T480" s="78">
        <f t="shared" si="194"/>
        <v>94</v>
      </c>
      <c r="U480" s="79">
        <v>17</v>
      </c>
      <c r="V480" s="23">
        <v>11</v>
      </c>
      <c r="W480" s="80">
        <f>I480+L480+O480+R480</f>
        <v>8</v>
      </c>
    </row>
    <row r="481" spans="1:23" ht="30" customHeight="1" x14ac:dyDescent="0.25">
      <c r="A481" s="10" t="s">
        <v>216</v>
      </c>
      <c r="B481" s="33">
        <v>54</v>
      </c>
      <c r="C481" s="34" t="s">
        <v>89</v>
      </c>
      <c r="D481" s="280" t="s">
        <v>178</v>
      </c>
      <c r="E481" s="21" t="s">
        <v>111</v>
      </c>
      <c r="F481" s="155" t="s">
        <v>107</v>
      </c>
      <c r="G481" s="154">
        <v>46</v>
      </c>
      <c r="H481" s="155">
        <v>21</v>
      </c>
      <c r="I481" s="10">
        <v>2</v>
      </c>
      <c r="J481" s="92">
        <v>58</v>
      </c>
      <c r="K481" s="10">
        <v>28</v>
      </c>
      <c r="L481" s="10">
        <v>2</v>
      </c>
      <c r="M481" s="8">
        <v>50</v>
      </c>
      <c r="N481" s="9">
        <v>19</v>
      </c>
      <c r="O481" s="10">
        <v>2</v>
      </c>
      <c r="P481" s="8">
        <v>39</v>
      </c>
      <c r="Q481" s="9">
        <v>20</v>
      </c>
      <c r="R481" s="10">
        <v>2</v>
      </c>
      <c r="S481" s="92">
        <f t="shared" si="193"/>
        <v>193</v>
      </c>
      <c r="T481" s="17">
        <f t="shared" si="194"/>
        <v>88</v>
      </c>
      <c r="U481" s="12">
        <v>25</v>
      </c>
      <c r="V481" s="35">
        <v>11</v>
      </c>
      <c r="W481" s="93">
        <f>I481+L481+O481+R481</f>
        <v>8</v>
      </c>
    </row>
    <row r="482" spans="1:23" ht="30" customHeight="1" x14ac:dyDescent="0.25">
      <c r="A482" s="10" t="s">
        <v>216</v>
      </c>
      <c r="B482" s="33">
        <v>56</v>
      </c>
      <c r="C482" s="34" t="s">
        <v>83</v>
      </c>
      <c r="D482" s="280" t="s">
        <v>179</v>
      </c>
      <c r="E482" s="21" t="s">
        <v>38</v>
      </c>
      <c r="F482" s="155" t="s">
        <v>107</v>
      </c>
      <c r="G482" s="154">
        <v>70</v>
      </c>
      <c r="H482" s="155">
        <v>32</v>
      </c>
      <c r="I482" s="10">
        <v>3</v>
      </c>
      <c r="J482" s="92">
        <v>103</v>
      </c>
      <c r="K482" s="10">
        <v>57</v>
      </c>
      <c r="L482" s="10">
        <v>4</v>
      </c>
      <c r="M482" s="8">
        <v>62</v>
      </c>
      <c r="N482" s="9">
        <v>32</v>
      </c>
      <c r="O482" s="10">
        <v>3</v>
      </c>
      <c r="P482" s="8">
        <v>77</v>
      </c>
      <c r="Q482" s="9">
        <v>35</v>
      </c>
      <c r="R482" s="10">
        <v>3</v>
      </c>
      <c r="S482" s="325">
        <f t="shared" si="193"/>
        <v>312</v>
      </c>
      <c r="T482" s="17">
        <f t="shared" si="194"/>
        <v>156</v>
      </c>
      <c r="U482" s="12">
        <v>27</v>
      </c>
      <c r="V482" s="35">
        <v>17</v>
      </c>
      <c r="W482" s="93">
        <f>I482+L482+O482+R482</f>
        <v>13</v>
      </c>
    </row>
    <row r="483" spans="1:23" ht="30" customHeight="1" x14ac:dyDescent="0.25">
      <c r="A483" s="155" t="s">
        <v>216</v>
      </c>
      <c r="B483" s="20">
        <v>57</v>
      </c>
      <c r="C483" s="21" t="s">
        <v>63</v>
      </c>
      <c r="D483" s="280" t="s">
        <v>180</v>
      </c>
      <c r="E483" s="21" t="s">
        <v>23</v>
      </c>
      <c r="F483" s="155" t="s">
        <v>105</v>
      </c>
      <c r="G483" s="154">
        <v>88</v>
      </c>
      <c r="H483" s="155">
        <v>34</v>
      </c>
      <c r="I483" s="155">
        <v>4</v>
      </c>
      <c r="J483" s="154">
        <v>118</v>
      </c>
      <c r="K483" s="155">
        <v>49</v>
      </c>
      <c r="L483" s="155">
        <v>5</v>
      </c>
      <c r="M483" s="146">
        <v>98</v>
      </c>
      <c r="N483" s="145">
        <v>52</v>
      </c>
      <c r="O483" s="155">
        <v>4</v>
      </c>
      <c r="P483" s="146">
        <v>111</v>
      </c>
      <c r="Q483" s="145">
        <v>42</v>
      </c>
      <c r="R483" s="155">
        <v>4</v>
      </c>
      <c r="S483" s="77">
        <f t="shared" si="193"/>
        <v>415</v>
      </c>
      <c r="T483" s="78">
        <f t="shared" si="194"/>
        <v>177</v>
      </c>
      <c r="U483" s="79">
        <v>55</v>
      </c>
      <c r="V483" s="23">
        <v>24</v>
      </c>
      <c r="W483" s="80">
        <f>I483+L483+O483+R483</f>
        <v>17</v>
      </c>
    </row>
    <row r="484" spans="1:23" ht="30" customHeight="1" x14ac:dyDescent="0.25">
      <c r="A484" s="155" t="s">
        <v>216</v>
      </c>
      <c r="B484" s="45">
        <v>58</v>
      </c>
      <c r="C484" s="46" t="s">
        <v>50</v>
      </c>
      <c r="D484" s="282" t="s">
        <v>181</v>
      </c>
      <c r="E484" s="46" t="s">
        <v>215</v>
      </c>
      <c r="F484" s="149" t="s">
        <v>105</v>
      </c>
      <c r="G484" s="63">
        <v>52</v>
      </c>
      <c r="H484" s="149">
        <v>30</v>
      </c>
      <c r="I484" s="155">
        <v>2</v>
      </c>
      <c r="J484" s="154">
        <v>47</v>
      </c>
      <c r="K484" s="155">
        <v>21</v>
      </c>
      <c r="L484" s="155">
        <v>2</v>
      </c>
      <c r="M484" s="146">
        <v>57</v>
      </c>
      <c r="N484" s="145">
        <v>32</v>
      </c>
      <c r="O484" s="155">
        <v>2</v>
      </c>
      <c r="P484" s="146">
        <v>48</v>
      </c>
      <c r="Q484" s="145">
        <v>23</v>
      </c>
      <c r="R484" s="155">
        <v>2</v>
      </c>
      <c r="S484" s="77">
        <f t="shared" si="193"/>
        <v>204</v>
      </c>
      <c r="T484" s="78">
        <f t="shared" si="194"/>
        <v>106</v>
      </c>
      <c r="U484" s="79">
        <v>17</v>
      </c>
      <c r="V484" s="23">
        <v>6</v>
      </c>
      <c r="W484" s="80">
        <f>I484+L484+O484+R484</f>
        <v>8</v>
      </c>
    </row>
    <row r="485" spans="1:23" ht="30" customHeight="1" thickBot="1" x14ac:dyDescent="0.3">
      <c r="A485" s="36" t="s">
        <v>216</v>
      </c>
      <c r="B485" s="314" t="s">
        <v>96</v>
      </c>
      <c r="C485" s="303"/>
      <c r="D485" s="303"/>
      <c r="E485" s="315"/>
      <c r="F485" s="311"/>
      <c r="G485" s="312">
        <v>521</v>
      </c>
      <c r="H485" s="312">
        <v>249</v>
      </c>
      <c r="I485" s="81">
        <f t="shared" ref="I485:W485" si="201">SUM(I477:I484)</f>
        <v>23</v>
      </c>
      <c r="J485" s="27">
        <f t="shared" si="201"/>
        <v>628</v>
      </c>
      <c r="K485" s="81">
        <f t="shared" si="201"/>
        <v>299</v>
      </c>
      <c r="L485" s="96">
        <f t="shared" si="201"/>
        <v>25</v>
      </c>
      <c r="M485" s="26">
        <f t="shared" si="201"/>
        <v>544</v>
      </c>
      <c r="N485" s="64">
        <f t="shared" si="201"/>
        <v>279</v>
      </c>
      <c r="O485" s="81">
        <f t="shared" si="201"/>
        <v>23</v>
      </c>
      <c r="P485" s="26">
        <f t="shared" si="201"/>
        <v>577</v>
      </c>
      <c r="Q485" s="64">
        <f t="shared" si="201"/>
        <v>268</v>
      </c>
      <c r="R485" s="81">
        <f t="shared" si="201"/>
        <v>23</v>
      </c>
      <c r="S485" s="42">
        <f t="shared" si="193"/>
        <v>2270</v>
      </c>
      <c r="T485" s="95">
        <f t="shared" si="194"/>
        <v>1095</v>
      </c>
      <c r="U485" s="25">
        <f t="shared" si="201"/>
        <v>273</v>
      </c>
      <c r="V485" s="84">
        <f t="shared" si="201"/>
        <v>138</v>
      </c>
      <c r="W485" s="85">
        <f t="shared" si="201"/>
        <v>94</v>
      </c>
    </row>
    <row r="486" spans="1:23" ht="30" customHeight="1" x14ac:dyDescent="0.25">
      <c r="A486" s="37" t="s">
        <v>216</v>
      </c>
      <c r="B486" s="33">
        <v>61</v>
      </c>
      <c r="C486" s="34" t="s">
        <v>69</v>
      </c>
      <c r="D486" s="280" t="s">
        <v>182</v>
      </c>
      <c r="E486" s="21" t="s">
        <v>208</v>
      </c>
      <c r="F486" s="155" t="s">
        <v>106</v>
      </c>
      <c r="G486" s="154">
        <v>46</v>
      </c>
      <c r="H486" s="155">
        <v>22</v>
      </c>
      <c r="I486" s="29">
        <v>2.5</v>
      </c>
      <c r="J486" s="88">
        <v>59</v>
      </c>
      <c r="K486" s="29">
        <v>29</v>
      </c>
      <c r="L486" s="10">
        <v>2.5</v>
      </c>
      <c r="M486" s="91">
        <v>58</v>
      </c>
      <c r="N486" s="17">
        <v>24</v>
      </c>
      <c r="O486" s="10">
        <v>3</v>
      </c>
      <c r="P486" s="91">
        <v>36</v>
      </c>
      <c r="Q486" s="17">
        <v>20</v>
      </c>
      <c r="R486" s="10">
        <v>2</v>
      </c>
      <c r="S486" s="92">
        <f t="shared" si="193"/>
        <v>199</v>
      </c>
      <c r="T486" s="17">
        <f t="shared" si="194"/>
        <v>95</v>
      </c>
      <c r="U486" s="12">
        <v>86</v>
      </c>
      <c r="V486" s="35">
        <v>38</v>
      </c>
      <c r="W486" s="93">
        <f>I486+L486+O486+R486</f>
        <v>10</v>
      </c>
    </row>
    <row r="487" spans="1:23" ht="30" customHeight="1" x14ac:dyDescent="0.25">
      <c r="A487" s="44" t="s">
        <v>216</v>
      </c>
      <c r="B487" s="20">
        <v>61</v>
      </c>
      <c r="C487" s="21" t="s">
        <v>69</v>
      </c>
      <c r="D487" s="280" t="s">
        <v>183</v>
      </c>
      <c r="E487" s="21" t="s">
        <v>209</v>
      </c>
      <c r="F487" s="155" t="s">
        <v>105</v>
      </c>
      <c r="G487" s="154">
        <v>66</v>
      </c>
      <c r="H487" s="155">
        <v>36</v>
      </c>
      <c r="I487" s="155">
        <v>3.5</v>
      </c>
      <c r="J487" s="154">
        <v>103</v>
      </c>
      <c r="K487" s="155">
        <v>46</v>
      </c>
      <c r="L487" s="155">
        <v>3.5</v>
      </c>
      <c r="M487" s="146">
        <v>61</v>
      </c>
      <c r="N487" s="145">
        <v>31</v>
      </c>
      <c r="O487" s="155">
        <v>3</v>
      </c>
      <c r="P487" s="146">
        <v>71</v>
      </c>
      <c r="Q487" s="145">
        <v>29</v>
      </c>
      <c r="R487" s="155">
        <v>3</v>
      </c>
      <c r="S487" s="77">
        <f t="shared" si="193"/>
        <v>301</v>
      </c>
      <c r="T487" s="17">
        <f t="shared" si="194"/>
        <v>142</v>
      </c>
      <c r="U487" s="79">
        <v>78</v>
      </c>
      <c r="V487" s="23">
        <v>36</v>
      </c>
      <c r="W487" s="80">
        <f>I487+L487+O487+R487</f>
        <v>13</v>
      </c>
    </row>
    <row r="488" spans="1:23" ht="30" customHeight="1" x14ac:dyDescent="0.25">
      <c r="A488" s="29" t="s">
        <v>216</v>
      </c>
      <c r="B488" s="47">
        <v>62</v>
      </c>
      <c r="C488" s="48" t="s">
        <v>77</v>
      </c>
      <c r="D488" s="113" t="s">
        <v>184</v>
      </c>
      <c r="E488" s="11" t="s">
        <v>76</v>
      </c>
      <c r="F488" s="145" t="s">
        <v>106</v>
      </c>
      <c r="G488" s="146">
        <v>70</v>
      </c>
      <c r="H488" s="145">
        <v>36</v>
      </c>
      <c r="I488" s="10">
        <v>3</v>
      </c>
      <c r="J488" s="92">
        <v>68</v>
      </c>
      <c r="K488" s="17">
        <v>32</v>
      </c>
      <c r="L488" s="97">
        <v>3</v>
      </c>
      <c r="M488" s="91">
        <v>62</v>
      </c>
      <c r="N488" s="17">
        <v>26</v>
      </c>
      <c r="O488" s="10">
        <v>3</v>
      </c>
      <c r="P488" s="91">
        <v>66</v>
      </c>
      <c r="Q488" s="17">
        <v>33</v>
      </c>
      <c r="R488" s="10">
        <v>3</v>
      </c>
      <c r="S488" s="91">
        <f t="shared" si="193"/>
        <v>266</v>
      </c>
      <c r="T488" s="17">
        <f t="shared" si="194"/>
        <v>127</v>
      </c>
      <c r="U488" s="12">
        <v>35</v>
      </c>
      <c r="V488" s="35">
        <v>16</v>
      </c>
      <c r="W488" s="93">
        <f>I488+L488+O488+R488</f>
        <v>12</v>
      </c>
    </row>
    <row r="489" spans="1:23" ht="30" customHeight="1" x14ac:dyDescent="0.25">
      <c r="A489" s="10" t="s">
        <v>216</v>
      </c>
      <c r="B489" s="47">
        <v>63</v>
      </c>
      <c r="C489" s="48" t="s">
        <v>80</v>
      </c>
      <c r="D489" s="113" t="s">
        <v>185</v>
      </c>
      <c r="E489" s="11" t="s">
        <v>110</v>
      </c>
      <c r="F489" s="145" t="s">
        <v>107</v>
      </c>
      <c r="G489" s="146">
        <v>48</v>
      </c>
      <c r="H489" s="145">
        <v>26</v>
      </c>
      <c r="I489" s="10">
        <v>2</v>
      </c>
      <c r="J489" s="92">
        <v>60</v>
      </c>
      <c r="K489" s="17">
        <v>25</v>
      </c>
      <c r="L489" s="97">
        <v>2</v>
      </c>
      <c r="M489" s="8">
        <v>40</v>
      </c>
      <c r="N489" s="9">
        <v>24</v>
      </c>
      <c r="O489" s="10">
        <v>2</v>
      </c>
      <c r="P489" s="8">
        <v>43</v>
      </c>
      <c r="Q489" s="9">
        <v>27</v>
      </c>
      <c r="R489" s="10">
        <v>2</v>
      </c>
      <c r="S489" s="91">
        <f t="shared" si="193"/>
        <v>191</v>
      </c>
      <c r="T489" s="17">
        <f t="shared" si="194"/>
        <v>102</v>
      </c>
      <c r="U489" s="12">
        <v>39</v>
      </c>
      <c r="V489" s="35">
        <v>19</v>
      </c>
      <c r="W489" s="93">
        <f>I489+L489+O489+R489</f>
        <v>8</v>
      </c>
    </row>
    <row r="490" spans="1:23" ht="30" customHeight="1" x14ac:dyDescent="0.25">
      <c r="A490" s="10" t="s">
        <v>216</v>
      </c>
      <c r="B490" s="47">
        <v>63</v>
      </c>
      <c r="C490" s="48" t="s">
        <v>80</v>
      </c>
      <c r="D490" s="113" t="s">
        <v>186</v>
      </c>
      <c r="E490" s="11" t="s">
        <v>210</v>
      </c>
      <c r="F490" s="145" t="s">
        <v>107</v>
      </c>
      <c r="G490" s="146">
        <v>49</v>
      </c>
      <c r="H490" s="145">
        <v>25</v>
      </c>
      <c r="I490" s="10">
        <v>3</v>
      </c>
      <c r="J490" s="92">
        <v>83</v>
      </c>
      <c r="K490" s="17">
        <v>36</v>
      </c>
      <c r="L490" s="97">
        <v>3</v>
      </c>
      <c r="M490" s="8">
        <v>57</v>
      </c>
      <c r="N490" s="9">
        <v>28</v>
      </c>
      <c r="O490" s="10">
        <v>2</v>
      </c>
      <c r="P490" s="8">
        <v>46</v>
      </c>
      <c r="Q490" s="9">
        <v>27</v>
      </c>
      <c r="R490" s="10">
        <v>2</v>
      </c>
      <c r="S490" s="91">
        <f t="shared" si="193"/>
        <v>235</v>
      </c>
      <c r="T490" s="17">
        <f t="shared" si="194"/>
        <v>116</v>
      </c>
      <c r="U490" s="12">
        <v>90</v>
      </c>
      <c r="V490" s="35">
        <v>44</v>
      </c>
      <c r="W490" s="93">
        <f>I490+L490+O490+R490</f>
        <v>10</v>
      </c>
    </row>
    <row r="491" spans="1:23" ht="30" customHeight="1" x14ac:dyDescent="0.25">
      <c r="A491" s="155" t="s">
        <v>216</v>
      </c>
      <c r="B491" s="163">
        <v>68</v>
      </c>
      <c r="C491" s="49" t="s">
        <v>56</v>
      </c>
      <c r="D491" s="283" t="s">
        <v>187</v>
      </c>
      <c r="E491" s="49" t="s">
        <v>218</v>
      </c>
      <c r="F491" s="152" t="s">
        <v>105</v>
      </c>
      <c r="G491" s="150">
        <v>34</v>
      </c>
      <c r="H491" s="152">
        <v>14</v>
      </c>
      <c r="I491" s="155">
        <v>1.5</v>
      </c>
      <c r="J491" s="154">
        <v>45</v>
      </c>
      <c r="K491" s="145">
        <v>22</v>
      </c>
      <c r="L491" s="157">
        <v>1.5</v>
      </c>
      <c r="M491" s="146">
        <v>38</v>
      </c>
      <c r="N491" s="145">
        <v>17</v>
      </c>
      <c r="O491" s="155">
        <v>2</v>
      </c>
      <c r="P491" s="146">
        <v>30</v>
      </c>
      <c r="Q491" s="145">
        <v>12</v>
      </c>
      <c r="R491" s="155">
        <v>1</v>
      </c>
      <c r="S491" s="98">
        <f t="shared" si="193"/>
        <v>147</v>
      </c>
      <c r="T491" s="78">
        <f t="shared" si="194"/>
        <v>65</v>
      </c>
      <c r="U491" s="79">
        <v>8</v>
      </c>
      <c r="V491" s="23">
        <v>4</v>
      </c>
      <c r="W491" s="80">
        <f>I491+L491+O491+R491</f>
        <v>6</v>
      </c>
    </row>
    <row r="492" spans="1:23" ht="30" customHeight="1" thickBot="1" x14ac:dyDescent="0.3">
      <c r="A492" s="36" t="s">
        <v>216</v>
      </c>
      <c r="B492" s="314" t="s">
        <v>98</v>
      </c>
      <c r="C492" s="303"/>
      <c r="D492" s="303"/>
      <c r="E492" s="315"/>
      <c r="F492" s="311"/>
      <c r="G492" s="312">
        <v>313</v>
      </c>
      <c r="H492" s="312">
        <v>159</v>
      </c>
      <c r="I492" s="149">
        <f t="shared" ref="I492:W492" si="202">SUM(I486:I491)</f>
        <v>15.5</v>
      </c>
      <c r="J492" s="63">
        <f t="shared" si="202"/>
        <v>418</v>
      </c>
      <c r="K492" s="149">
        <f t="shared" si="202"/>
        <v>190</v>
      </c>
      <c r="L492" s="109">
        <f t="shared" si="202"/>
        <v>15.5</v>
      </c>
      <c r="M492" s="26">
        <f t="shared" si="202"/>
        <v>316</v>
      </c>
      <c r="N492" s="64">
        <f t="shared" si="202"/>
        <v>150</v>
      </c>
      <c r="O492" s="81">
        <f t="shared" si="202"/>
        <v>15</v>
      </c>
      <c r="P492" s="26">
        <f t="shared" si="202"/>
        <v>292</v>
      </c>
      <c r="Q492" s="64">
        <f t="shared" si="202"/>
        <v>148</v>
      </c>
      <c r="R492" s="81">
        <f t="shared" si="202"/>
        <v>13</v>
      </c>
      <c r="S492" s="42">
        <f t="shared" si="193"/>
        <v>1339</v>
      </c>
      <c r="T492" s="95">
        <f t="shared" si="194"/>
        <v>647</v>
      </c>
      <c r="U492" s="25">
        <f t="shared" si="202"/>
        <v>336</v>
      </c>
      <c r="V492" s="84">
        <f t="shared" si="202"/>
        <v>157</v>
      </c>
      <c r="W492" s="85">
        <f t="shared" si="202"/>
        <v>59</v>
      </c>
    </row>
    <row r="493" spans="1:23" ht="30" customHeight="1" x14ac:dyDescent="0.25">
      <c r="A493" s="10" t="s">
        <v>216</v>
      </c>
      <c r="B493" s="47">
        <v>71</v>
      </c>
      <c r="C493" s="48" t="s">
        <v>71</v>
      </c>
      <c r="D493" s="113" t="s">
        <v>188</v>
      </c>
      <c r="E493" s="11" t="s">
        <v>39</v>
      </c>
      <c r="F493" s="145" t="s">
        <v>107</v>
      </c>
      <c r="G493" s="146">
        <v>69</v>
      </c>
      <c r="H493" s="145">
        <v>32</v>
      </c>
      <c r="I493" s="309">
        <v>3</v>
      </c>
      <c r="J493" s="310">
        <v>61</v>
      </c>
      <c r="K493" s="297">
        <v>33</v>
      </c>
      <c r="L493" s="97">
        <v>2</v>
      </c>
      <c r="M493" s="8">
        <v>59</v>
      </c>
      <c r="N493" s="9">
        <v>25</v>
      </c>
      <c r="O493" s="10">
        <v>2</v>
      </c>
      <c r="P493" s="8">
        <v>59</v>
      </c>
      <c r="Q493" s="9">
        <v>30</v>
      </c>
      <c r="R493" s="10">
        <v>2</v>
      </c>
      <c r="S493" s="91">
        <f t="shared" si="193"/>
        <v>248</v>
      </c>
      <c r="T493" s="17">
        <f t="shared" si="194"/>
        <v>120</v>
      </c>
      <c r="U493" s="12">
        <v>16</v>
      </c>
      <c r="V493" s="35">
        <v>7</v>
      </c>
      <c r="W493" s="99">
        <f>I493+L493+O493+R493</f>
        <v>9</v>
      </c>
    </row>
    <row r="494" spans="1:23" ht="30" customHeight="1" x14ac:dyDescent="0.25">
      <c r="A494" s="155" t="s">
        <v>216</v>
      </c>
      <c r="B494" s="39">
        <v>71</v>
      </c>
      <c r="C494" s="11" t="s">
        <v>71</v>
      </c>
      <c r="D494" s="113" t="s">
        <v>189</v>
      </c>
      <c r="E494" s="11" t="s">
        <v>28</v>
      </c>
      <c r="F494" s="145" t="s">
        <v>105</v>
      </c>
      <c r="G494" s="146">
        <v>28</v>
      </c>
      <c r="H494" s="145">
        <v>10</v>
      </c>
      <c r="I494" s="155">
        <v>1</v>
      </c>
      <c r="J494" s="154">
        <v>29</v>
      </c>
      <c r="K494" s="145">
        <v>15</v>
      </c>
      <c r="L494" s="157">
        <v>1</v>
      </c>
      <c r="M494" s="146">
        <v>25</v>
      </c>
      <c r="N494" s="145">
        <v>12</v>
      </c>
      <c r="O494" s="155">
        <v>1</v>
      </c>
      <c r="P494" s="146">
        <v>25</v>
      </c>
      <c r="Q494" s="145">
        <v>13</v>
      </c>
      <c r="R494" s="155">
        <v>1</v>
      </c>
      <c r="S494" s="91">
        <f t="shared" si="193"/>
        <v>107</v>
      </c>
      <c r="T494" s="17">
        <f t="shared" si="194"/>
        <v>50</v>
      </c>
      <c r="U494" s="79">
        <v>4</v>
      </c>
      <c r="V494" s="23">
        <v>1</v>
      </c>
      <c r="W494" s="93">
        <f>I494+L494+O494+R494</f>
        <v>4</v>
      </c>
    </row>
    <row r="495" spans="1:23" ht="30" customHeight="1" thickBot="1" x14ac:dyDescent="0.3">
      <c r="A495" s="50" t="s">
        <v>216</v>
      </c>
      <c r="B495" s="47">
        <v>76</v>
      </c>
      <c r="C495" s="48" t="s">
        <v>78</v>
      </c>
      <c r="D495" s="113" t="s">
        <v>190</v>
      </c>
      <c r="E495" s="11" t="s">
        <v>212</v>
      </c>
      <c r="F495" s="145" t="s">
        <v>107</v>
      </c>
      <c r="G495" s="146">
        <v>33</v>
      </c>
      <c r="H495" s="145">
        <v>18</v>
      </c>
      <c r="I495" s="10">
        <v>1.5</v>
      </c>
      <c r="J495" s="92">
        <v>35</v>
      </c>
      <c r="K495" s="17">
        <v>14</v>
      </c>
      <c r="L495" s="97">
        <v>1.5</v>
      </c>
      <c r="M495" s="100">
        <v>29</v>
      </c>
      <c r="N495" s="9">
        <v>18</v>
      </c>
      <c r="O495" s="10">
        <v>1</v>
      </c>
      <c r="P495" s="8">
        <v>34</v>
      </c>
      <c r="Q495" s="9">
        <v>15</v>
      </c>
      <c r="R495" s="10">
        <v>1</v>
      </c>
      <c r="S495" s="91">
        <f t="shared" si="193"/>
        <v>131</v>
      </c>
      <c r="T495" s="17">
        <f t="shared" si="194"/>
        <v>65</v>
      </c>
      <c r="U495" s="12">
        <v>8</v>
      </c>
      <c r="V495" s="35">
        <v>3</v>
      </c>
      <c r="W495" s="93">
        <f>I495+L495+O495+R495</f>
        <v>5</v>
      </c>
    </row>
    <row r="496" spans="1:23" ht="30" customHeight="1" x14ac:dyDescent="0.25">
      <c r="A496" s="158" t="s">
        <v>216</v>
      </c>
      <c r="B496" s="39">
        <v>77</v>
      </c>
      <c r="C496" s="11" t="s">
        <v>59</v>
      </c>
      <c r="D496" s="113" t="s">
        <v>191</v>
      </c>
      <c r="E496" s="11" t="s">
        <v>20</v>
      </c>
      <c r="F496" s="145" t="s">
        <v>105</v>
      </c>
      <c r="G496" s="146">
        <v>47</v>
      </c>
      <c r="H496" s="145">
        <v>20</v>
      </c>
      <c r="I496" s="155">
        <v>2</v>
      </c>
      <c r="J496" s="154">
        <v>55</v>
      </c>
      <c r="K496" s="155">
        <v>21</v>
      </c>
      <c r="L496" s="155">
        <v>2</v>
      </c>
      <c r="M496" s="146">
        <v>58</v>
      </c>
      <c r="N496" s="145">
        <v>24</v>
      </c>
      <c r="O496" s="155">
        <v>2</v>
      </c>
      <c r="P496" s="146">
        <v>44</v>
      </c>
      <c r="Q496" s="145">
        <v>21</v>
      </c>
      <c r="R496" s="155">
        <v>2</v>
      </c>
      <c r="S496" s="98">
        <f t="shared" si="193"/>
        <v>204</v>
      </c>
      <c r="T496" s="78">
        <f t="shared" si="194"/>
        <v>86</v>
      </c>
      <c r="U496" s="79">
        <v>11</v>
      </c>
      <c r="V496" s="22">
        <v>5</v>
      </c>
      <c r="W496" s="80">
        <f>I496+L496+O496+R496</f>
        <v>8</v>
      </c>
    </row>
    <row r="497" spans="1:24" ht="30" customHeight="1" x14ac:dyDescent="0.25">
      <c r="A497" s="50" t="s">
        <v>216</v>
      </c>
      <c r="B497" s="51">
        <v>77</v>
      </c>
      <c r="C497" s="48" t="s">
        <v>59</v>
      </c>
      <c r="D497" s="113" t="s">
        <v>192</v>
      </c>
      <c r="E497" s="11" t="s">
        <v>40</v>
      </c>
      <c r="F497" s="145" t="s">
        <v>107</v>
      </c>
      <c r="G497" s="146">
        <v>48</v>
      </c>
      <c r="H497" s="145">
        <v>27</v>
      </c>
      <c r="I497" s="10">
        <v>2</v>
      </c>
      <c r="J497" s="92">
        <v>69</v>
      </c>
      <c r="K497" s="10">
        <v>39</v>
      </c>
      <c r="L497" s="10">
        <v>3</v>
      </c>
      <c r="M497" s="8">
        <v>50</v>
      </c>
      <c r="N497" s="9">
        <v>29</v>
      </c>
      <c r="O497" s="10">
        <v>2</v>
      </c>
      <c r="P497" s="8">
        <v>46</v>
      </c>
      <c r="Q497" s="9">
        <v>12</v>
      </c>
      <c r="R497" s="10">
        <v>2</v>
      </c>
      <c r="S497" s="91">
        <f t="shared" si="193"/>
        <v>213</v>
      </c>
      <c r="T497" s="17">
        <f t="shared" si="194"/>
        <v>107</v>
      </c>
      <c r="U497" s="12">
        <v>35</v>
      </c>
      <c r="V497" s="16">
        <v>13</v>
      </c>
      <c r="W497" s="93">
        <f>I497+L497+O497+R497</f>
        <v>9</v>
      </c>
    </row>
    <row r="498" spans="1:24" ht="30" customHeight="1" thickBot="1" x14ac:dyDescent="0.3">
      <c r="A498" s="36" t="s">
        <v>216</v>
      </c>
      <c r="B498" s="314" t="s">
        <v>97</v>
      </c>
      <c r="C498" s="303"/>
      <c r="D498" s="303"/>
      <c r="E498" s="315"/>
      <c r="F498" s="311"/>
      <c r="G498" s="312">
        <v>225</v>
      </c>
      <c r="H498" s="313">
        <v>107</v>
      </c>
      <c r="I498" s="81">
        <f t="shared" ref="I498:W498" si="203">SUM(I493:I497)</f>
        <v>9.5</v>
      </c>
      <c r="J498" s="27">
        <f t="shared" si="203"/>
        <v>249</v>
      </c>
      <c r="K498" s="81">
        <f t="shared" si="203"/>
        <v>122</v>
      </c>
      <c r="L498" s="109">
        <f t="shared" si="203"/>
        <v>9.5</v>
      </c>
      <c r="M498" s="26">
        <f t="shared" si="203"/>
        <v>221</v>
      </c>
      <c r="N498" s="64">
        <f t="shared" si="203"/>
        <v>108</v>
      </c>
      <c r="O498" s="81">
        <f t="shared" si="203"/>
        <v>8</v>
      </c>
      <c r="P498" s="26">
        <f t="shared" si="203"/>
        <v>208</v>
      </c>
      <c r="Q498" s="64">
        <f t="shared" si="203"/>
        <v>91</v>
      </c>
      <c r="R498" s="81">
        <f t="shared" si="203"/>
        <v>8</v>
      </c>
      <c r="S498" s="42">
        <f t="shared" si="193"/>
        <v>903</v>
      </c>
      <c r="T498" s="95">
        <f t="shared" si="194"/>
        <v>428</v>
      </c>
      <c r="U498" s="25">
        <f t="shared" si="203"/>
        <v>74</v>
      </c>
      <c r="V498" s="84">
        <f t="shared" si="203"/>
        <v>29</v>
      </c>
      <c r="W498" s="85">
        <f t="shared" si="203"/>
        <v>35</v>
      </c>
    </row>
    <row r="499" spans="1:24" ht="30" customHeight="1" x14ac:dyDescent="0.25">
      <c r="A499" s="155" t="s">
        <v>216</v>
      </c>
      <c r="B499" s="39">
        <v>82</v>
      </c>
      <c r="C499" s="11" t="s">
        <v>58</v>
      </c>
      <c r="D499" s="113" t="s">
        <v>193</v>
      </c>
      <c r="E499" s="11" t="s">
        <v>19</v>
      </c>
      <c r="F499" s="145" t="s">
        <v>105</v>
      </c>
      <c r="G499" s="146">
        <v>70</v>
      </c>
      <c r="H499" s="145">
        <v>30</v>
      </c>
      <c r="I499" s="44">
        <v>3</v>
      </c>
      <c r="J499" s="294">
        <v>105</v>
      </c>
      <c r="K499" s="44">
        <v>57</v>
      </c>
      <c r="L499" s="155">
        <v>4</v>
      </c>
      <c r="M499" s="146">
        <v>93</v>
      </c>
      <c r="N499" s="145">
        <v>52</v>
      </c>
      <c r="O499" s="155">
        <v>4</v>
      </c>
      <c r="P499" s="146">
        <v>87</v>
      </c>
      <c r="Q499" s="145">
        <v>49</v>
      </c>
      <c r="R499" s="155">
        <v>4</v>
      </c>
      <c r="S499" s="98">
        <f t="shared" si="193"/>
        <v>355</v>
      </c>
      <c r="T499" s="78">
        <f t="shared" si="194"/>
        <v>188</v>
      </c>
      <c r="U499" s="79">
        <v>40</v>
      </c>
      <c r="V499" s="22">
        <v>20</v>
      </c>
      <c r="W499" s="80">
        <f>I499+L499+O499+R499</f>
        <v>15</v>
      </c>
    </row>
    <row r="500" spans="1:24" ht="46.5" customHeight="1" x14ac:dyDescent="0.25">
      <c r="A500" s="155" t="s">
        <v>216</v>
      </c>
      <c r="B500" s="164">
        <v>86</v>
      </c>
      <c r="C500" s="11" t="s">
        <v>49</v>
      </c>
      <c r="D500" s="285" t="s">
        <v>194</v>
      </c>
      <c r="E500" s="52" t="s">
        <v>219</v>
      </c>
      <c r="F500" s="153" t="s">
        <v>105</v>
      </c>
      <c r="G500" s="151">
        <v>44</v>
      </c>
      <c r="H500" s="153">
        <v>19</v>
      </c>
      <c r="I500" s="147">
        <v>2</v>
      </c>
      <c r="J500" s="286">
        <v>57</v>
      </c>
      <c r="K500" s="147">
        <v>31</v>
      </c>
      <c r="L500" s="147">
        <v>2</v>
      </c>
      <c r="M500" s="151">
        <v>26</v>
      </c>
      <c r="N500" s="153">
        <v>18</v>
      </c>
      <c r="O500" s="147">
        <v>1</v>
      </c>
      <c r="P500" s="151">
        <v>53</v>
      </c>
      <c r="Q500" s="153">
        <v>22</v>
      </c>
      <c r="R500" s="147">
        <v>2</v>
      </c>
      <c r="S500" s="98">
        <f t="shared" si="193"/>
        <v>180</v>
      </c>
      <c r="T500" s="78">
        <f t="shared" si="194"/>
        <v>90</v>
      </c>
      <c r="U500" s="101">
        <v>18</v>
      </c>
      <c r="V500" s="53">
        <v>8</v>
      </c>
      <c r="W500" s="80">
        <f>I500+L500+O500+R500</f>
        <v>7</v>
      </c>
    </row>
    <row r="501" spans="1:24" ht="30" customHeight="1" x14ac:dyDescent="0.25">
      <c r="A501" s="10" t="s">
        <v>216</v>
      </c>
      <c r="B501" s="47">
        <v>86</v>
      </c>
      <c r="C501" s="48" t="s">
        <v>49</v>
      </c>
      <c r="D501" s="113" t="s">
        <v>195</v>
      </c>
      <c r="E501" s="54" t="s">
        <v>37</v>
      </c>
      <c r="F501" s="145" t="s">
        <v>107</v>
      </c>
      <c r="G501" s="146">
        <v>42</v>
      </c>
      <c r="H501" s="145">
        <v>20</v>
      </c>
      <c r="I501" s="10">
        <v>2</v>
      </c>
      <c r="J501" s="92">
        <v>71</v>
      </c>
      <c r="K501" s="10">
        <v>31</v>
      </c>
      <c r="L501" s="10">
        <v>3</v>
      </c>
      <c r="M501" s="8">
        <v>60</v>
      </c>
      <c r="N501" s="9">
        <v>31</v>
      </c>
      <c r="O501" s="10">
        <v>3</v>
      </c>
      <c r="P501" s="8">
        <v>44</v>
      </c>
      <c r="Q501" s="9">
        <v>21</v>
      </c>
      <c r="R501" s="10">
        <v>2</v>
      </c>
      <c r="S501" s="91">
        <f t="shared" si="193"/>
        <v>217</v>
      </c>
      <c r="T501" s="17">
        <f t="shared" si="194"/>
        <v>103</v>
      </c>
      <c r="U501" s="12">
        <v>62</v>
      </c>
      <c r="V501" s="16">
        <v>25</v>
      </c>
      <c r="W501" s="93">
        <f>I501+L501+O501+R501</f>
        <v>10</v>
      </c>
    </row>
    <row r="502" spans="1:24" ht="30" customHeight="1" x14ac:dyDescent="0.25">
      <c r="A502" s="55" t="s">
        <v>216</v>
      </c>
      <c r="B502" s="160">
        <v>87</v>
      </c>
      <c r="C502" s="11" t="s">
        <v>68</v>
      </c>
      <c r="D502" s="285" t="s">
        <v>196</v>
      </c>
      <c r="E502" s="52" t="s">
        <v>132</v>
      </c>
      <c r="F502" s="153" t="s">
        <v>105</v>
      </c>
      <c r="G502" s="151">
        <v>100</v>
      </c>
      <c r="H502" s="153">
        <v>46</v>
      </c>
      <c r="I502" s="147">
        <v>4</v>
      </c>
      <c r="J502" s="286">
        <v>113</v>
      </c>
      <c r="K502" s="147">
        <v>53</v>
      </c>
      <c r="L502" s="147">
        <v>4</v>
      </c>
      <c r="M502" s="151">
        <v>101</v>
      </c>
      <c r="N502" s="153">
        <v>55</v>
      </c>
      <c r="O502" s="147">
        <v>4</v>
      </c>
      <c r="P502" s="151">
        <v>98</v>
      </c>
      <c r="Q502" s="153">
        <v>45</v>
      </c>
      <c r="R502" s="147">
        <v>4</v>
      </c>
      <c r="S502" s="98">
        <f t="shared" si="193"/>
        <v>412</v>
      </c>
      <c r="T502" s="78">
        <f t="shared" si="194"/>
        <v>199</v>
      </c>
      <c r="U502" s="101">
        <v>48</v>
      </c>
      <c r="V502" s="53">
        <v>25</v>
      </c>
      <c r="W502" s="80">
        <f>I502+L502+O502+R502</f>
        <v>16</v>
      </c>
    </row>
    <row r="503" spans="1:24" ht="30" customHeight="1" thickBot="1" x14ac:dyDescent="0.3">
      <c r="A503" s="36" t="s">
        <v>216</v>
      </c>
      <c r="B503" s="314" t="s">
        <v>99</v>
      </c>
      <c r="C503" s="303"/>
      <c r="D503" s="303"/>
      <c r="E503" s="315"/>
      <c r="F503" s="311"/>
      <c r="G503" s="312">
        <v>256</v>
      </c>
      <c r="H503" s="313">
        <v>115</v>
      </c>
      <c r="I503" s="81">
        <f t="shared" ref="I503:W503" si="204">SUM(I499:I502)</f>
        <v>11</v>
      </c>
      <c r="J503" s="27">
        <f t="shared" si="204"/>
        <v>346</v>
      </c>
      <c r="K503" s="81">
        <f t="shared" si="204"/>
        <v>172</v>
      </c>
      <c r="L503" s="96">
        <f t="shared" si="204"/>
        <v>13</v>
      </c>
      <c r="M503" s="26">
        <f t="shared" si="204"/>
        <v>280</v>
      </c>
      <c r="N503" s="64">
        <f t="shared" si="204"/>
        <v>156</v>
      </c>
      <c r="O503" s="81">
        <f t="shared" si="204"/>
        <v>12</v>
      </c>
      <c r="P503" s="26">
        <f t="shared" si="204"/>
        <v>282</v>
      </c>
      <c r="Q503" s="64">
        <f t="shared" si="204"/>
        <v>137</v>
      </c>
      <c r="R503" s="81">
        <f t="shared" si="204"/>
        <v>12</v>
      </c>
      <c r="S503" s="42">
        <f t="shared" si="193"/>
        <v>1164</v>
      </c>
      <c r="T503" s="95">
        <f t="shared" si="194"/>
        <v>580</v>
      </c>
      <c r="U503" s="25">
        <f t="shared" si="204"/>
        <v>168</v>
      </c>
      <c r="V503" s="84">
        <f t="shared" si="204"/>
        <v>78</v>
      </c>
      <c r="W503" s="85">
        <f t="shared" si="204"/>
        <v>48</v>
      </c>
    </row>
    <row r="504" spans="1:24" ht="30" customHeight="1" x14ac:dyDescent="0.25">
      <c r="A504" s="155" t="s">
        <v>216</v>
      </c>
      <c r="B504" s="164">
        <v>95</v>
      </c>
      <c r="C504" s="52" t="s">
        <v>62</v>
      </c>
      <c r="D504" s="285" t="s">
        <v>197</v>
      </c>
      <c r="E504" s="52" t="s">
        <v>22</v>
      </c>
      <c r="F504" s="153" t="s">
        <v>105</v>
      </c>
      <c r="G504" s="151">
        <v>39</v>
      </c>
      <c r="H504" s="153">
        <v>23</v>
      </c>
      <c r="I504" s="147">
        <v>2</v>
      </c>
      <c r="J504" s="286">
        <v>46</v>
      </c>
      <c r="K504" s="147">
        <v>20</v>
      </c>
      <c r="L504" s="147">
        <v>2</v>
      </c>
      <c r="M504" s="151">
        <v>50</v>
      </c>
      <c r="N504" s="153">
        <v>23</v>
      </c>
      <c r="O504" s="147">
        <v>2</v>
      </c>
      <c r="P504" s="151">
        <v>42</v>
      </c>
      <c r="Q504" s="153">
        <v>20</v>
      </c>
      <c r="R504" s="147">
        <v>2</v>
      </c>
      <c r="S504" s="98">
        <f t="shared" si="193"/>
        <v>177</v>
      </c>
      <c r="T504" s="78">
        <f t="shared" si="194"/>
        <v>86</v>
      </c>
      <c r="U504" s="101">
        <v>11</v>
      </c>
      <c r="V504" s="53">
        <v>6</v>
      </c>
      <c r="W504" s="80">
        <f>I504+L504+O504+R504</f>
        <v>8</v>
      </c>
    </row>
    <row r="505" spans="1:24" ht="30" customHeight="1" x14ac:dyDescent="0.25">
      <c r="A505" s="55" t="s">
        <v>216</v>
      </c>
      <c r="B505" s="39">
        <v>96</v>
      </c>
      <c r="C505" s="11" t="s">
        <v>51</v>
      </c>
      <c r="D505" s="113" t="s">
        <v>198</v>
      </c>
      <c r="E505" s="11" t="s">
        <v>213</v>
      </c>
      <c r="F505" s="145" t="s">
        <v>105</v>
      </c>
      <c r="G505" s="146">
        <v>28</v>
      </c>
      <c r="H505" s="145">
        <v>8</v>
      </c>
      <c r="I505" s="155">
        <v>1</v>
      </c>
      <c r="J505" s="154">
        <v>19</v>
      </c>
      <c r="K505" s="155">
        <v>10</v>
      </c>
      <c r="L505" s="155">
        <v>1</v>
      </c>
      <c r="M505" s="146">
        <v>39</v>
      </c>
      <c r="N505" s="145">
        <v>16</v>
      </c>
      <c r="O505" s="155">
        <v>2</v>
      </c>
      <c r="P505" s="146">
        <v>24</v>
      </c>
      <c r="Q505" s="145">
        <v>12</v>
      </c>
      <c r="R505" s="155">
        <v>1</v>
      </c>
      <c r="S505" s="98">
        <f t="shared" si="193"/>
        <v>110</v>
      </c>
      <c r="T505" s="78">
        <f t="shared" si="194"/>
        <v>46</v>
      </c>
      <c r="U505" s="79">
        <v>20</v>
      </c>
      <c r="V505" s="22">
        <v>10</v>
      </c>
      <c r="W505" s="80">
        <f>I505+L505+O505+R505</f>
        <v>5</v>
      </c>
    </row>
    <row r="506" spans="1:24" ht="30" customHeight="1" x14ac:dyDescent="0.25">
      <c r="A506" s="10" t="s">
        <v>216</v>
      </c>
      <c r="B506" s="47">
        <v>96</v>
      </c>
      <c r="C506" s="48" t="s">
        <v>51</v>
      </c>
      <c r="D506" s="113" t="s">
        <v>199</v>
      </c>
      <c r="E506" s="11" t="s">
        <v>42</v>
      </c>
      <c r="F506" s="153" t="s">
        <v>107</v>
      </c>
      <c r="G506" s="151">
        <v>46</v>
      </c>
      <c r="H506" s="153">
        <v>26</v>
      </c>
      <c r="I506" s="104">
        <v>2</v>
      </c>
      <c r="J506" s="287">
        <v>71</v>
      </c>
      <c r="K506" s="104">
        <v>34</v>
      </c>
      <c r="L506" s="104">
        <v>3</v>
      </c>
      <c r="M506" s="102">
        <v>46</v>
      </c>
      <c r="N506" s="103">
        <v>18</v>
      </c>
      <c r="O506" s="104">
        <v>2</v>
      </c>
      <c r="P506" s="102">
        <v>58</v>
      </c>
      <c r="Q506" s="103">
        <v>26</v>
      </c>
      <c r="R506" s="104">
        <v>2</v>
      </c>
      <c r="S506" s="91">
        <f t="shared" si="193"/>
        <v>221</v>
      </c>
      <c r="T506" s="17">
        <f t="shared" si="194"/>
        <v>104</v>
      </c>
      <c r="U506" s="105">
        <v>21</v>
      </c>
      <c r="V506" s="56">
        <v>8</v>
      </c>
      <c r="W506" s="93">
        <f>I506+L506+O506+R506</f>
        <v>9</v>
      </c>
    </row>
    <row r="507" spans="1:24" ht="30" customHeight="1" x14ac:dyDescent="0.25">
      <c r="A507" s="55" t="s">
        <v>216</v>
      </c>
      <c r="B507" s="39">
        <v>97</v>
      </c>
      <c r="C507" s="11" t="s">
        <v>61</v>
      </c>
      <c r="D507" s="113" t="s">
        <v>200</v>
      </c>
      <c r="E507" s="11" t="s">
        <v>138</v>
      </c>
      <c r="F507" s="145" t="s">
        <v>105</v>
      </c>
      <c r="G507" s="146">
        <v>96</v>
      </c>
      <c r="H507" s="145">
        <v>43</v>
      </c>
      <c r="I507" s="155">
        <v>4</v>
      </c>
      <c r="J507" s="154">
        <v>110</v>
      </c>
      <c r="K507" s="155">
        <v>55</v>
      </c>
      <c r="L507" s="155">
        <v>4</v>
      </c>
      <c r="M507" s="146">
        <v>109</v>
      </c>
      <c r="N507" s="145">
        <v>52</v>
      </c>
      <c r="O507" s="155">
        <v>4</v>
      </c>
      <c r="P507" s="146">
        <v>89</v>
      </c>
      <c r="Q507" s="145">
        <v>36</v>
      </c>
      <c r="R507" s="155">
        <v>4</v>
      </c>
      <c r="S507" s="98">
        <f t="shared" si="193"/>
        <v>404</v>
      </c>
      <c r="T507" s="78">
        <f t="shared" si="194"/>
        <v>186</v>
      </c>
      <c r="U507" s="79">
        <v>30</v>
      </c>
      <c r="V507" s="22">
        <v>14</v>
      </c>
      <c r="W507" s="80">
        <f>I507+L507+O507+R507</f>
        <v>16</v>
      </c>
    </row>
    <row r="508" spans="1:24" ht="30" customHeight="1" x14ac:dyDescent="0.25">
      <c r="A508" s="155" t="s">
        <v>216</v>
      </c>
      <c r="B508" s="39">
        <v>98</v>
      </c>
      <c r="C508" s="11" t="s">
        <v>52</v>
      </c>
      <c r="D508" s="113" t="s">
        <v>201</v>
      </c>
      <c r="E508" s="11" t="s">
        <v>14</v>
      </c>
      <c r="F508" s="145" t="s">
        <v>105</v>
      </c>
      <c r="G508" s="146">
        <v>63</v>
      </c>
      <c r="H508" s="145">
        <v>29</v>
      </c>
      <c r="I508" s="155">
        <v>3</v>
      </c>
      <c r="J508" s="154">
        <v>72</v>
      </c>
      <c r="K508" s="155">
        <v>37</v>
      </c>
      <c r="L508" s="155">
        <v>3</v>
      </c>
      <c r="M508" s="146">
        <v>63</v>
      </c>
      <c r="N508" s="152">
        <v>37</v>
      </c>
      <c r="O508" s="149">
        <v>3</v>
      </c>
      <c r="P508" s="146">
        <v>63</v>
      </c>
      <c r="Q508" s="145">
        <v>27</v>
      </c>
      <c r="R508" s="155">
        <v>3</v>
      </c>
      <c r="S508" s="98">
        <f t="shared" si="193"/>
        <v>261</v>
      </c>
      <c r="T508" s="78">
        <f t="shared" si="194"/>
        <v>130</v>
      </c>
      <c r="U508" s="79">
        <v>14</v>
      </c>
      <c r="V508" s="22">
        <v>3</v>
      </c>
      <c r="W508" s="80">
        <f>I508+L508+O508+R508</f>
        <v>12</v>
      </c>
    </row>
    <row r="509" spans="1:24" ht="30" customHeight="1" x14ac:dyDescent="0.25">
      <c r="A509" s="156" t="s">
        <v>216</v>
      </c>
      <c r="B509" s="39">
        <v>98</v>
      </c>
      <c r="C509" s="57" t="s">
        <v>52</v>
      </c>
      <c r="D509" s="288" t="s">
        <v>202</v>
      </c>
      <c r="E509" s="11" t="s">
        <v>16</v>
      </c>
      <c r="F509" s="145" t="s">
        <v>105</v>
      </c>
      <c r="G509" s="146">
        <v>24</v>
      </c>
      <c r="H509" s="145">
        <v>9</v>
      </c>
      <c r="I509" s="155">
        <v>1</v>
      </c>
      <c r="J509" s="154">
        <v>22</v>
      </c>
      <c r="K509" s="155">
        <v>7</v>
      </c>
      <c r="L509" s="155">
        <v>1</v>
      </c>
      <c r="M509" s="146">
        <v>20</v>
      </c>
      <c r="N509" s="145">
        <v>12</v>
      </c>
      <c r="O509" s="155">
        <v>1</v>
      </c>
      <c r="P509" s="146">
        <v>23</v>
      </c>
      <c r="Q509" s="145">
        <v>9</v>
      </c>
      <c r="R509" s="155">
        <v>1</v>
      </c>
      <c r="S509" s="98">
        <f t="shared" si="193"/>
        <v>89</v>
      </c>
      <c r="T509" s="78">
        <f t="shared" si="194"/>
        <v>37</v>
      </c>
      <c r="U509" s="79">
        <v>0</v>
      </c>
      <c r="V509" s="22">
        <v>0</v>
      </c>
      <c r="W509" s="80">
        <f>I509+L509+O509+R509</f>
        <v>4</v>
      </c>
    </row>
    <row r="510" spans="1:24" ht="30" customHeight="1" thickBot="1" x14ac:dyDescent="0.3">
      <c r="A510" s="149" t="s">
        <v>216</v>
      </c>
      <c r="B510" s="314" t="s">
        <v>100</v>
      </c>
      <c r="C510" s="303"/>
      <c r="D510" s="303"/>
      <c r="E510" s="315"/>
      <c r="F510" s="311"/>
      <c r="G510" s="312">
        <v>296</v>
      </c>
      <c r="H510" s="313">
        <v>138</v>
      </c>
      <c r="I510" s="149">
        <f t="shared" ref="I510:W510" si="205">SUM(I504:I509)</f>
        <v>13</v>
      </c>
      <c r="J510" s="63">
        <f t="shared" si="205"/>
        <v>340</v>
      </c>
      <c r="K510" s="149">
        <f t="shared" si="205"/>
        <v>163</v>
      </c>
      <c r="L510" s="326">
        <f t="shared" si="205"/>
        <v>14</v>
      </c>
      <c r="M510" s="26">
        <f t="shared" si="205"/>
        <v>327</v>
      </c>
      <c r="N510" s="64">
        <f t="shared" si="205"/>
        <v>158</v>
      </c>
      <c r="O510" s="81">
        <f t="shared" si="205"/>
        <v>14</v>
      </c>
      <c r="P510" s="26">
        <f t="shared" si="205"/>
        <v>299</v>
      </c>
      <c r="Q510" s="64">
        <f t="shared" si="205"/>
        <v>130</v>
      </c>
      <c r="R510" s="81">
        <f t="shared" si="205"/>
        <v>13</v>
      </c>
      <c r="S510" s="42">
        <f t="shared" si="193"/>
        <v>1262</v>
      </c>
      <c r="T510" s="95">
        <f t="shared" si="194"/>
        <v>589</v>
      </c>
      <c r="U510" s="25">
        <f t="shared" si="205"/>
        <v>96</v>
      </c>
      <c r="V510" s="84">
        <f t="shared" si="205"/>
        <v>41</v>
      </c>
      <c r="W510" s="85">
        <f t="shared" si="205"/>
        <v>54</v>
      </c>
    </row>
    <row r="511" spans="1:24" s="111" customFormat="1" ht="30" customHeight="1" thickBot="1" x14ac:dyDescent="0.3">
      <c r="A511" s="58" t="s">
        <v>216</v>
      </c>
      <c r="B511" s="348" t="s">
        <v>102</v>
      </c>
      <c r="C511" s="349"/>
      <c r="D511" s="349"/>
      <c r="E511" s="349"/>
      <c r="F511" s="350"/>
      <c r="G511" s="40">
        <f t="shared" ref="G511:W511" si="206">G459+G465+G470+G475+G485+G492+G498+G503+G510</f>
        <v>2305</v>
      </c>
      <c r="H511" s="40">
        <f t="shared" si="206"/>
        <v>1133</v>
      </c>
      <c r="I511" s="327">
        <f t="shared" si="206"/>
        <v>102.75</v>
      </c>
      <c r="J511" s="328">
        <f t="shared" si="206"/>
        <v>2794</v>
      </c>
      <c r="K511" s="328">
        <f t="shared" si="206"/>
        <v>1332</v>
      </c>
      <c r="L511" s="329">
        <f t="shared" si="206"/>
        <v>107.75</v>
      </c>
      <c r="M511" s="40">
        <f t="shared" si="206"/>
        <v>2407</v>
      </c>
      <c r="N511" s="40">
        <f t="shared" si="206"/>
        <v>1221</v>
      </c>
      <c r="O511" s="107">
        <f t="shared" si="206"/>
        <v>102.75</v>
      </c>
      <c r="P511" s="40">
        <f t="shared" si="206"/>
        <v>2434</v>
      </c>
      <c r="Q511" s="40">
        <f t="shared" si="206"/>
        <v>1163</v>
      </c>
      <c r="R511" s="107">
        <f t="shared" si="206"/>
        <v>100.75</v>
      </c>
      <c r="S511" s="42">
        <f t="shared" si="193"/>
        <v>9940</v>
      </c>
      <c r="T511" s="40">
        <f t="shared" si="194"/>
        <v>4849</v>
      </c>
      <c r="U511" s="40">
        <f t="shared" si="206"/>
        <v>1316</v>
      </c>
      <c r="V511" s="42">
        <f t="shared" si="206"/>
        <v>619</v>
      </c>
      <c r="W511" s="41">
        <f t="shared" si="206"/>
        <v>414</v>
      </c>
      <c r="X511" s="115"/>
    </row>
    <row r="512" spans="1:24" ht="35.4" x14ac:dyDescent="0.25">
      <c r="A512" s="158" t="s">
        <v>222</v>
      </c>
      <c r="B512" s="162">
        <v>11</v>
      </c>
      <c r="C512" s="15" t="s">
        <v>48</v>
      </c>
      <c r="D512" s="278" t="s">
        <v>159</v>
      </c>
      <c r="E512" s="15" t="s">
        <v>221</v>
      </c>
      <c r="F512" s="158" t="s">
        <v>105</v>
      </c>
      <c r="G512" s="298">
        <f>27+4</f>
        <v>31</v>
      </c>
      <c r="H512" s="158">
        <f>12+2</f>
        <v>14</v>
      </c>
      <c r="I512" s="158">
        <v>1.25</v>
      </c>
      <c r="J512" s="279">
        <f>18+4</f>
        <v>22</v>
      </c>
      <c r="K512" s="158">
        <f>12+2</f>
        <v>14</v>
      </c>
      <c r="L512" s="158">
        <v>1.25</v>
      </c>
      <c r="M512" s="71">
        <f>30+8</f>
        <v>38</v>
      </c>
      <c r="N512" s="72">
        <f>14+2</f>
        <v>16</v>
      </c>
      <c r="O512" s="158">
        <v>1.25</v>
      </c>
      <c r="P512" s="71">
        <f>24+11</f>
        <v>35</v>
      </c>
      <c r="Q512" s="72">
        <f>5+8</f>
        <v>13</v>
      </c>
      <c r="R512" s="158">
        <v>1.25</v>
      </c>
      <c r="S512" s="73">
        <f t="shared" ref="S512:S513" si="207">G512+J512+M512+P512</f>
        <v>126</v>
      </c>
      <c r="T512" s="299">
        <f t="shared" ref="T512:T513" si="208">H512+K512+N512+Q512</f>
        <v>57</v>
      </c>
      <c r="U512" s="75">
        <v>5</v>
      </c>
      <c r="V512" s="18">
        <v>3</v>
      </c>
      <c r="W512" s="76">
        <f>I512+L512+O512+R512</f>
        <v>5</v>
      </c>
    </row>
    <row r="513" spans="1:23" ht="30" customHeight="1" x14ac:dyDescent="0.25">
      <c r="A513" s="155" t="s">
        <v>222</v>
      </c>
      <c r="B513" s="20">
        <v>15</v>
      </c>
      <c r="C513" s="21" t="s">
        <v>64</v>
      </c>
      <c r="D513" s="280" t="s">
        <v>160</v>
      </c>
      <c r="E513" s="21" t="s">
        <v>24</v>
      </c>
      <c r="F513" s="155" t="s">
        <v>105</v>
      </c>
      <c r="G513" s="300">
        <v>42</v>
      </c>
      <c r="H513" s="23">
        <v>16</v>
      </c>
      <c r="I513" s="155">
        <v>2</v>
      </c>
      <c r="J513" s="154">
        <v>27</v>
      </c>
      <c r="K513" s="155">
        <v>18</v>
      </c>
      <c r="L513" s="155">
        <v>1</v>
      </c>
      <c r="M513" s="146">
        <v>57</v>
      </c>
      <c r="N513" s="145">
        <v>23</v>
      </c>
      <c r="O513" s="155">
        <v>2</v>
      </c>
      <c r="P513" s="146">
        <v>47</v>
      </c>
      <c r="Q513" s="145">
        <v>24</v>
      </c>
      <c r="R513" s="155">
        <v>2</v>
      </c>
      <c r="S513" s="77">
        <f t="shared" si="207"/>
        <v>173</v>
      </c>
      <c r="T513" s="301">
        <f t="shared" si="208"/>
        <v>81</v>
      </c>
      <c r="U513" s="79">
        <v>20</v>
      </c>
      <c r="V513" s="23">
        <v>8</v>
      </c>
      <c r="W513" s="80">
        <f>I513+L513+O513+R513</f>
        <v>7</v>
      </c>
    </row>
    <row r="514" spans="1:23" ht="30" customHeight="1" thickBot="1" x14ac:dyDescent="0.3">
      <c r="A514" s="36" t="s">
        <v>222</v>
      </c>
      <c r="B514" s="302" t="s">
        <v>92</v>
      </c>
      <c r="C514" s="303"/>
      <c r="D514" s="304"/>
      <c r="E514" s="305"/>
      <c r="F514" s="306"/>
      <c r="G514" s="307">
        <f t="shared" ref="G514:I514" si="209">G512+G513</f>
        <v>73</v>
      </c>
      <c r="H514" s="308">
        <f t="shared" si="209"/>
        <v>30</v>
      </c>
      <c r="I514" s="149">
        <f t="shared" si="209"/>
        <v>3.25</v>
      </c>
      <c r="J514" s="63">
        <f>SUM(J512:J513)</f>
        <v>49</v>
      </c>
      <c r="K514" s="149">
        <f t="shared" ref="K514:W514" si="210">SUM(K512:K513)</f>
        <v>32</v>
      </c>
      <c r="L514" s="81">
        <f t="shared" si="210"/>
        <v>2.25</v>
      </c>
      <c r="M514" s="26">
        <f t="shared" si="210"/>
        <v>95</v>
      </c>
      <c r="N514" s="64">
        <f t="shared" si="210"/>
        <v>39</v>
      </c>
      <c r="O514" s="81">
        <f t="shared" si="210"/>
        <v>3.25</v>
      </c>
      <c r="P514" s="26">
        <f t="shared" si="210"/>
        <v>82</v>
      </c>
      <c r="Q514" s="64">
        <f t="shared" si="210"/>
        <v>37</v>
      </c>
      <c r="R514" s="81">
        <f t="shared" si="210"/>
        <v>3.25</v>
      </c>
      <c r="S514" s="82">
        <f t="shared" si="210"/>
        <v>299</v>
      </c>
      <c r="T514" s="83">
        <f t="shared" si="210"/>
        <v>138</v>
      </c>
      <c r="U514" s="25">
        <f t="shared" si="210"/>
        <v>25</v>
      </c>
      <c r="V514" s="84">
        <f t="shared" si="210"/>
        <v>11</v>
      </c>
      <c r="W514" s="85">
        <f t="shared" si="210"/>
        <v>12</v>
      </c>
    </row>
    <row r="515" spans="1:23" ht="30" customHeight="1" x14ac:dyDescent="0.25">
      <c r="A515" s="29" t="s">
        <v>222</v>
      </c>
      <c r="B515" s="30">
        <v>22</v>
      </c>
      <c r="C515" s="31" t="s">
        <v>75</v>
      </c>
      <c r="D515" s="281" t="s">
        <v>166</v>
      </c>
      <c r="E515" s="31" t="s">
        <v>32</v>
      </c>
      <c r="F515" s="29" t="s">
        <v>106</v>
      </c>
      <c r="G515" s="88">
        <v>52</v>
      </c>
      <c r="H515" s="29">
        <v>24</v>
      </c>
      <c r="I515" s="309">
        <v>2</v>
      </c>
      <c r="J515" s="310">
        <v>48</v>
      </c>
      <c r="K515" s="309">
        <v>24</v>
      </c>
      <c r="L515" s="29">
        <v>2</v>
      </c>
      <c r="M515" s="86">
        <v>50</v>
      </c>
      <c r="N515" s="87">
        <v>25</v>
      </c>
      <c r="O515" s="29">
        <v>2</v>
      </c>
      <c r="P515" s="86">
        <v>40</v>
      </c>
      <c r="Q515" s="87">
        <v>25</v>
      </c>
      <c r="R515" s="29">
        <v>2</v>
      </c>
      <c r="S515" s="88">
        <f t="shared" ref="S515:S519" si="211">G515+J515+M515+P515</f>
        <v>190</v>
      </c>
      <c r="T515" s="87">
        <f t="shared" ref="T515:T519" si="212">H515+K515+N515+Q515</f>
        <v>98</v>
      </c>
      <c r="U515" s="89">
        <v>20</v>
      </c>
      <c r="V515" s="32">
        <v>11</v>
      </c>
      <c r="W515" s="90">
        <f>I515+L515+O515+R515</f>
        <v>8</v>
      </c>
    </row>
    <row r="516" spans="1:23" ht="30" customHeight="1" x14ac:dyDescent="0.25">
      <c r="A516" s="155" t="s">
        <v>222</v>
      </c>
      <c r="B516" s="20">
        <v>24</v>
      </c>
      <c r="C516" s="21" t="s">
        <v>70</v>
      </c>
      <c r="D516" s="280" t="s">
        <v>165</v>
      </c>
      <c r="E516" s="21" t="s">
        <v>156</v>
      </c>
      <c r="F516" s="155" t="s">
        <v>105</v>
      </c>
      <c r="G516" s="154">
        <v>39</v>
      </c>
      <c r="H516" s="155">
        <v>20</v>
      </c>
      <c r="I516" s="155">
        <v>2</v>
      </c>
      <c r="J516" s="154">
        <f>39+9</f>
        <v>48</v>
      </c>
      <c r="K516" s="155">
        <f>22+4</f>
        <v>26</v>
      </c>
      <c r="L516" s="155">
        <v>2</v>
      </c>
      <c r="M516" s="146">
        <v>29</v>
      </c>
      <c r="N516" s="145">
        <v>19</v>
      </c>
      <c r="O516" s="155">
        <v>1.5</v>
      </c>
      <c r="P516" s="146">
        <v>30</v>
      </c>
      <c r="Q516" s="145">
        <v>14</v>
      </c>
      <c r="R516" s="155">
        <v>1.5</v>
      </c>
      <c r="S516" s="77">
        <f t="shared" si="211"/>
        <v>146</v>
      </c>
      <c r="T516" s="78">
        <f t="shared" si="212"/>
        <v>79</v>
      </c>
      <c r="U516" s="79">
        <v>33</v>
      </c>
      <c r="V516" s="23">
        <v>19</v>
      </c>
      <c r="W516" s="80">
        <f>I516+L516+O516+R516</f>
        <v>7</v>
      </c>
    </row>
    <row r="517" spans="1:23" ht="30" customHeight="1" x14ac:dyDescent="0.25">
      <c r="A517" s="10" t="s">
        <v>222</v>
      </c>
      <c r="B517" s="33">
        <v>25</v>
      </c>
      <c r="C517" s="34" t="s">
        <v>74</v>
      </c>
      <c r="D517" s="280" t="s">
        <v>167</v>
      </c>
      <c r="E517" s="21" t="s">
        <v>130</v>
      </c>
      <c r="F517" s="10" t="s">
        <v>106</v>
      </c>
      <c r="G517" s="92">
        <v>54</v>
      </c>
      <c r="H517" s="10">
        <v>20</v>
      </c>
      <c r="I517" s="10">
        <v>2</v>
      </c>
      <c r="J517" s="92">
        <v>54</v>
      </c>
      <c r="K517" s="10">
        <v>31</v>
      </c>
      <c r="L517" s="10">
        <v>2</v>
      </c>
      <c r="M517" s="91">
        <v>51</v>
      </c>
      <c r="N517" s="17">
        <v>25</v>
      </c>
      <c r="O517" s="10">
        <v>2</v>
      </c>
      <c r="P517" s="91">
        <v>55</v>
      </c>
      <c r="Q517" s="17">
        <v>33</v>
      </c>
      <c r="R517" s="10">
        <v>2</v>
      </c>
      <c r="S517" s="92">
        <f t="shared" si="211"/>
        <v>214</v>
      </c>
      <c r="T517" s="17">
        <f t="shared" si="212"/>
        <v>109</v>
      </c>
      <c r="U517" s="12">
        <v>5</v>
      </c>
      <c r="V517" s="35">
        <v>3</v>
      </c>
      <c r="W517" s="93">
        <f>I517+L517+O517+R517</f>
        <v>8</v>
      </c>
    </row>
    <row r="518" spans="1:23" ht="30" customHeight="1" x14ac:dyDescent="0.25">
      <c r="A518" s="155" t="s">
        <v>222</v>
      </c>
      <c r="B518" s="20">
        <v>27</v>
      </c>
      <c r="C518" s="21" t="s">
        <v>60</v>
      </c>
      <c r="D518" s="280" t="s">
        <v>168</v>
      </c>
      <c r="E518" s="21" t="s">
        <v>21</v>
      </c>
      <c r="F518" s="155" t="s">
        <v>105</v>
      </c>
      <c r="G518" s="154">
        <v>43</v>
      </c>
      <c r="H518" s="155">
        <v>18</v>
      </c>
      <c r="I518" s="155">
        <v>2</v>
      </c>
      <c r="J518" s="154">
        <v>53</v>
      </c>
      <c r="K518" s="155">
        <v>28</v>
      </c>
      <c r="L518" s="155">
        <v>2</v>
      </c>
      <c r="M518" s="146">
        <v>55</v>
      </c>
      <c r="N518" s="145">
        <v>32</v>
      </c>
      <c r="O518" s="155">
        <v>2</v>
      </c>
      <c r="P518" s="146">
        <v>56</v>
      </c>
      <c r="Q518" s="145">
        <v>25</v>
      </c>
      <c r="R518" s="155">
        <v>2</v>
      </c>
      <c r="S518" s="77">
        <f t="shared" si="211"/>
        <v>207</v>
      </c>
      <c r="T518" s="78">
        <f t="shared" si="212"/>
        <v>103</v>
      </c>
      <c r="U518" s="79">
        <v>16</v>
      </c>
      <c r="V518" s="23">
        <v>10</v>
      </c>
      <c r="W518" s="80">
        <f>I518+L518+O518+R518</f>
        <v>8</v>
      </c>
    </row>
    <row r="519" spans="1:23" ht="30" customHeight="1" x14ac:dyDescent="0.25">
      <c r="A519" s="10" t="s">
        <v>222</v>
      </c>
      <c r="B519" s="33">
        <v>27</v>
      </c>
      <c r="C519" s="34" t="s">
        <v>60</v>
      </c>
      <c r="D519" s="280" t="s">
        <v>169</v>
      </c>
      <c r="E519" s="34" t="s">
        <v>33</v>
      </c>
      <c r="F519" s="10" t="s">
        <v>106</v>
      </c>
      <c r="G519" s="92">
        <v>54</v>
      </c>
      <c r="H519" s="10">
        <v>34</v>
      </c>
      <c r="I519" s="10">
        <v>2</v>
      </c>
      <c r="J519" s="92">
        <v>42</v>
      </c>
      <c r="K519" s="10">
        <v>28</v>
      </c>
      <c r="L519" s="10">
        <v>2</v>
      </c>
      <c r="M519" s="91">
        <v>28</v>
      </c>
      <c r="N519" s="17">
        <v>11</v>
      </c>
      <c r="O519" s="10">
        <v>1</v>
      </c>
      <c r="P519" s="91">
        <v>51</v>
      </c>
      <c r="Q519" s="17">
        <v>33</v>
      </c>
      <c r="R519" s="10">
        <v>2</v>
      </c>
      <c r="S519" s="92">
        <f t="shared" si="211"/>
        <v>175</v>
      </c>
      <c r="T519" s="17">
        <f t="shared" si="212"/>
        <v>106</v>
      </c>
      <c r="U519" s="12">
        <v>20</v>
      </c>
      <c r="V519" s="35">
        <v>11</v>
      </c>
      <c r="W519" s="93">
        <f>I519+L519+O519+R519</f>
        <v>7</v>
      </c>
    </row>
    <row r="520" spans="1:23" ht="30" customHeight="1" thickBot="1" x14ac:dyDescent="0.3">
      <c r="A520" s="36" t="s">
        <v>222</v>
      </c>
      <c r="B520" s="302" t="s">
        <v>220</v>
      </c>
      <c r="C520" s="303"/>
      <c r="D520" s="303"/>
      <c r="E520" s="303"/>
      <c r="F520" s="311"/>
      <c r="G520" s="312">
        <f t="shared" ref="G520:W520" si="213">SUM(G515:G519)</f>
        <v>242</v>
      </c>
      <c r="H520" s="308">
        <f t="shared" si="213"/>
        <v>116</v>
      </c>
      <c r="I520" s="81">
        <f t="shared" si="213"/>
        <v>10</v>
      </c>
      <c r="J520" s="27">
        <f t="shared" si="213"/>
        <v>245</v>
      </c>
      <c r="K520" s="81">
        <f t="shared" si="213"/>
        <v>137</v>
      </c>
      <c r="L520" s="81">
        <f t="shared" si="213"/>
        <v>10</v>
      </c>
      <c r="M520" s="26">
        <f t="shared" si="213"/>
        <v>213</v>
      </c>
      <c r="N520" s="64">
        <f t="shared" si="213"/>
        <v>112</v>
      </c>
      <c r="O520" s="81">
        <f t="shared" si="213"/>
        <v>8.5</v>
      </c>
      <c r="P520" s="26">
        <f t="shared" si="213"/>
        <v>232</v>
      </c>
      <c r="Q520" s="64">
        <f t="shared" si="213"/>
        <v>130</v>
      </c>
      <c r="R520" s="81">
        <f t="shared" si="213"/>
        <v>9.5</v>
      </c>
      <c r="S520" s="82">
        <f t="shared" si="213"/>
        <v>932</v>
      </c>
      <c r="T520" s="83">
        <f t="shared" si="213"/>
        <v>495</v>
      </c>
      <c r="U520" s="25">
        <f t="shared" si="213"/>
        <v>94</v>
      </c>
      <c r="V520" s="84">
        <f t="shared" si="213"/>
        <v>54</v>
      </c>
      <c r="W520" s="85">
        <f t="shared" si="213"/>
        <v>38</v>
      </c>
    </row>
    <row r="521" spans="1:23" ht="30" customHeight="1" x14ac:dyDescent="0.25">
      <c r="A521" s="10" t="s">
        <v>222</v>
      </c>
      <c r="B521" s="33">
        <v>31</v>
      </c>
      <c r="C521" s="34" t="s">
        <v>79</v>
      </c>
      <c r="D521" s="280" t="s">
        <v>163</v>
      </c>
      <c r="E521" s="21" t="s">
        <v>36</v>
      </c>
      <c r="F521" s="155" t="s">
        <v>107</v>
      </c>
      <c r="G521" s="154">
        <v>46</v>
      </c>
      <c r="H521" s="155">
        <v>18</v>
      </c>
      <c r="I521" s="29">
        <v>2</v>
      </c>
      <c r="J521" s="88">
        <v>58</v>
      </c>
      <c r="K521" s="29">
        <v>33</v>
      </c>
      <c r="L521" s="10">
        <v>2</v>
      </c>
      <c r="M521" s="8">
        <v>46</v>
      </c>
      <c r="N521" s="9">
        <v>20</v>
      </c>
      <c r="O521" s="10">
        <v>2</v>
      </c>
      <c r="P521" s="8">
        <v>45</v>
      </c>
      <c r="Q521" s="9">
        <v>23</v>
      </c>
      <c r="R521" s="10">
        <v>2</v>
      </c>
      <c r="S521" s="325">
        <f>G521+J521+M521+P521</f>
        <v>195</v>
      </c>
      <c r="T521" s="17">
        <f t="shared" ref="T521:T524" si="214">H521+K521+N521+Q521</f>
        <v>94</v>
      </c>
      <c r="U521" s="12">
        <v>21</v>
      </c>
      <c r="V521" s="35">
        <v>9</v>
      </c>
      <c r="W521" s="93">
        <f>I521+L521+O521+R521</f>
        <v>8</v>
      </c>
    </row>
    <row r="522" spans="1:23" ht="30" customHeight="1" x14ac:dyDescent="0.25">
      <c r="A522" s="10" t="s">
        <v>222</v>
      </c>
      <c r="B522" s="33">
        <v>32</v>
      </c>
      <c r="C522" s="34" t="s">
        <v>85</v>
      </c>
      <c r="D522" s="280" t="s">
        <v>164</v>
      </c>
      <c r="E522" s="21" t="s">
        <v>137</v>
      </c>
      <c r="F522" s="155" t="s">
        <v>107</v>
      </c>
      <c r="G522" s="154">
        <v>43</v>
      </c>
      <c r="H522" s="155">
        <v>23</v>
      </c>
      <c r="I522" s="10">
        <v>2</v>
      </c>
      <c r="J522" s="92">
        <v>60</v>
      </c>
      <c r="K522" s="10">
        <v>36</v>
      </c>
      <c r="L522" s="10">
        <v>2</v>
      </c>
      <c r="M522" s="8">
        <v>50</v>
      </c>
      <c r="N522" s="9">
        <v>21</v>
      </c>
      <c r="O522" s="10">
        <v>2</v>
      </c>
      <c r="P522" s="8">
        <v>51</v>
      </c>
      <c r="Q522" s="9">
        <v>23</v>
      </c>
      <c r="R522" s="10">
        <v>2</v>
      </c>
      <c r="S522" s="325">
        <f t="shared" ref="S522:S524" si="215">G522+J522+M522+P522</f>
        <v>204</v>
      </c>
      <c r="T522" s="17">
        <f t="shared" si="214"/>
        <v>103</v>
      </c>
      <c r="U522" s="12">
        <v>31</v>
      </c>
      <c r="V522" s="35">
        <v>12</v>
      </c>
      <c r="W522" s="93">
        <f>I522+L522+O522+R522</f>
        <v>8</v>
      </c>
    </row>
    <row r="523" spans="1:23" ht="30" customHeight="1" x14ac:dyDescent="0.25">
      <c r="A523" s="155" t="s">
        <v>222</v>
      </c>
      <c r="B523" s="20">
        <v>33</v>
      </c>
      <c r="C523" s="21" t="s">
        <v>57</v>
      </c>
      <c r="D523" s="280" t="s">
        <v>161</v>
      </c>
      <c r="E523" s="21" t="s">
        <v>217</v>
      </c>
      <c r="F523" s="155" t="s">
        <v>105</v>
      </c>
      <c r="G523" s="154">
        <v>30</v>
      </c>
      <c r="H523" s="155">
        <v>17</v>
      </c>
      <c r="I523" s="155">
        <v>1.5</v>
      </c>
      <c r="J523" s="154">
        <f>37+5</f>
        <v>42</v>
      </c>
      <c r="K523" s="155">
        <f>19+2</f>
        <v>21</v>
      </c>
      <c r="L523" s="155">
        <v>1.5</v>
      </c>
      <c r="M523" s="146">
        <v>33</v>
      </c>
      <c r="N523" s="145">
        <v>13</v>
      </c>
      <c r="O523" s="155">
        <v>2</v>
      </c>
      <c r="P523" s="146">
        <v>34</v>
      </c>
      <c r="Q523" s="145">
        <v>15</v>
      </c>
      <c r="R523" s="155">
        <v>2</v>
      </c>
      <c r="S523" s="325">
        <f t="shared" si="215"/>
        <v>139</v>
      </c>
      <c r="T523" s="78">
        <f t="shared" si="214"/>
        <v>66</v>
      </c>
      <c r="U523" s="79">
        <v>36</v>
      </c>
      <c r="V523" s="23">
        <v>15</v>
      </c>
      <c r="W523" s="80">
        <f>I523+L523+O523+R523</f>
        <v>7</v>
      </c>
    </row>
    <row r="524" spans="1:23" ht="30" customHeight="1" x14ac:dyDescent="0.25">
      <c r="A524" s="155" t="s">
        <v>222</v>
      </c>
      <c r="B524" s="20">
        <v>34</v>
      </c>
      <c r="C524" s="21" t="s">
        <v>54</v>
      </c>
      <c r="D524" s="280" t="s">
        <v>162</v>
      </c>
      <c r="E524" s="21" t="s">
        <v>15</v>
      </c>
      <c r="F524" s="155" t="s">
        <v>105</v>
      </c>
      <c r="G524" s="154">
        <v>60</v>
      </c>
      <c r="H524" s="155">
        <v>27</v>
      </c>
      <c r="I524" s="155">
        <v>3</v>
      </c>
      <c r="J524" s="154">
        <v>71</v>
      </c>
      <c r="K524" s="155">
        <v>33</v>
      </c>
      <c r="L524" s="155">
        <v>3</v>
      </c>
      <c r="M524" s="146">
        <v>57</v>
      </c>
      <c r="N524" s="145">
        <v>31</v>
      </c>
      <c r="O524" s="155">
        <v>3</v>
      </c>
      <c r="P524" s="146">
        <v>66</v>
      </c>
      <c r="Q524" s="145">
        <v>32</v>
      </c>
      <c r="R524" s="155">
        <v>3</v>
      </c>
      <c r="S524" s="325">
        <f t="shared" si="215"/>
        <v>254</v>
      </c>
      <c r="T524" s="78">
        <f t="shared" si="214"/>
        <v>123</v>
      </c>
      <c r="U524" s="79">
        <v>34</v>
      </c>
      <c r="V524" s="23">
        <v>17</v>
      </c>
      <c r="W524" s="80">
        <f>I524+L524+O524+R524</f>
        <v>12</v>
      </c>
    </row>
    <row r="525" spans="1:23" ht="30" customHeight="1" thickBot="1" x14ac:dyDescent="0.3">
      <c r="A525" s="36" t="s">
        <v>222</v>
      </c>
      <c r="B525" s="314" t="s">
        <v>93</v>
      </c>
      <c r="C525" s="303"/>
      <c r="D525" s="303"/>
      <c r="E525" s="315"/>
      <c r="F525" s="311"/>
      <c r="G525" s="313">
        <f t="shared" ref="G525:W525" si="216">SUM(G521:G524)</f>
        <v>179</v>
      </c>
      <c r="H525" s="308">
        <f t="shared" si="216"/>
        <v>85</v>
      </c>
      <c r="I525" s="81">
        <f t="shared" si="216"/>
        <v>8.5</v>
      </c>
      <c r="J525" s="27">
        <f t="shared" si="216"/>
        <v>231</v>
      </c>
      <c r="K525" s="81">
        <f t="shared" si="216"/>
        <v>123</v>
      </c>
      <c r="L525" s="81">
        <f t="shared" si="216"/>
        <v>8.5</v>
      </c>
      <c r="M525" s="26">
        <f t="shared" si="216"/>
        <v>186</v>
      </c>
      <c r="N525" s="64">
        <f t="shared" si="216"/>
        <v>85</v>
      </c>
      <c r="O525" s="81">
        <f t="shared" si="216"/>
        <v>9</v>
      </c>
      <c r="P525" s="26">
        <f t="shared" si="216"/>
        <v>196</v>
      </c>
      <c r="Q525" s="64">
        <f t="shared" si="216"/>
        <v>93</v>
      </c>
      <c r="R525" s="81">
        <f t="shared" si="216"/>
        <v>9</v>
      </c>
      <c r="S525" s="82">
        <f t="shared" si="216"/>
        <v>792</v>
      </c>
      <c r="T525" s="83">
        <f t="shared" si="216"/>
        <v>386</v>
      </c>
      <c r="U525" s="25">
        <f t="shared" si="216"/>
        <v>122</v>
      </c>
      <c r="V525" s="84">
        <f t="shared" si="216"/>
        <v>53</v>
      </c>
      <c r="W525" s="85">
        <f t="shared" si="216"/>
        <v>35</v>
      </c>
    </row>
    <row r="526" spans="1:23" ht="30" customHeight="1" x14ac:dyDescent="0.25">
      <c r="A526" s="155" t="s">
        <v>222</v>
      </c>
      <c r="B526" s="20">
        <v>45</v>
      </c>
      <c r="C526" s="21" t="s">
        <v>65</v>
      </c>
      <c r="D526" s="280" t="s">
        <v>170</v>
      </c>
      <c r="E526" s="21" t="s">
        <v>25</v>
      </c>
      <c r="F526" s="155" t="s">
        <v>105</v>
      </c>
      <c r="G526" s="154">
        <v>38</v>
      </c>
      <c r="H526" s="155">
        <v>17</v>
      </c>
      <c r="I526" s="44">
        <v>2</v>
      </c>
      <c r="J526" s="294">
        <v>46</v>
      </c>
      <c r="K526" s="44">
        <v>27</v>
      </c>
      <c r="L526" s="155">
        <v>2</v>
      </c>
      <c r="M526" s="146">
        <v>49</v>
      </c>
      <c r="N526" s="145">
        <v>22</v>
      </c>
      <c r="O526" s="155">
        <v>2</v>
      </c>
      <c r="P526" s="146">
        <v>51</v>
      </c>
      <c r="Q526" s="145">
        <v>30</v>
      </c>
      <c r="R526" s="155">
        <v>2</v>
      </c>
      <c r="S526" s="77">
        <f t="shared" ref="S526:S529" si="217">G526+J526+M526+P526</f>
        <v>184</v>
      </c>
      <c r="T526" s="78">
        <f t="shared" ref="T526:T529" si="218">H526+K526+N526+Q526</f>
        <v>96</v>
      </c>
      <c r="U526" s="79">
        <v>21</v>
      </c>
      <c r="V526" s="23">
        <v>12</v>
      </c>
      <c r="W526" s="80">
        <f>I526+L526+O526+R526</f>
        <v>8</v>
      </c>
    </row>
    <row r="527" spans="1:23" ht="30" customHeight="1" x14ac:dyDescent="0.25">
      <c r="A527" s="10" t="s">
        <v>222</v>
      </c>
      <c r="B527" s="33">
        <v>45</v>
      </c>
      <c r="C527" s="34" t="s">
        <v>65</v>
      </c>
      <c r="D527" s="280" t="s">
        <v>171</v>
      </c>
      <c r="E527" s="21" t="s">
        <v>43</v>
      </c>
      <c r="F527" s="155" t="s">
        <v>107</v>
      </c>
      <c r="G527" s="154">
        <v>56</v>
      </c>
      <c r="H527" s="155">
        <v>27</v>
      </c>
      <c r="I527" s="10">
        <v>2</v>
      </c>
      <c r="J527" s="92">
        <v>48</v>
      </c>
      <c r="K527" s="10">
        <v>27</v>
      </c>
      <c r="L527" s="10">
        <v>2</v>
      </c>
      <c r="M527" s="8">
        <v>53</v>
      </c>
      <c r="N527" s="17">
        <v>23</v>
      </c>
      <c r="O527" s="10">
        <v>2</v>
      </c>
      <c r="P527" s="8">
        <v>28</v>
      </c>
      <c r="Q527" s="9">
        <v>10</v>
      </c>
      <c r="R527" s="10">
        <v>1</v>
      </c>
      <c r="S527" s="92">
        <f t="shared" si="217"/>
        <v>185</v>
      </c>
      <c r="T527" s="17">
        <f t="shared" si="218"/>
        <v>87</v>
      </c>
      <c r="U527" s="12">
        <v>21</v>
      </c>
      <c r="V527" s="35">
        <v>9</v>
      </c>
      <c r="W527" s="93">
        <f>I527+L527+O527+R527</f>
        <v>7</v>
      </c>
    </row>
    <row r="528" spans="1:23" ht="30" customHeight="1" x14ac:dyDescent="0.25">
      <c r="A528" s="155" t="s">
        <v>222</v>
      </c>
      <c r="B528" s="20">
        <v>46</v>
      </c>
      <c r="C528" s="21" t="s">
        <v>73</v>
      </c>
      <c r="D528" s="280" t="s">
        <v>172</v>
      </c>
      <c r="E528" s="21" t="s">
        <v>30</v>
      </c>
      <c r="F528" s="155" t="s">
        <v>105</v>
      </c>
      <c r="G528" s="154">
        <v>81</v>
      </c>
      <c r="H528" s="155">
        <v>44</v>
      </c>
      <c r="I528" s="155">
        <v>3</v>
      </c>
      <c r="J528" s="154">
        <v>83</v>
      </c>
      <c r="K528" s="155">
        <v>32</v>
      </c>
      <c r="L528" s="155">
        <v>3</v>
      </c>
      <c r="M528" s="146">
        <v>66</v>
      </c>
      <c r="N528" s="145">
        <v>34</v>
      </c>
      <c r="O528" s="155">
        <v>3</v>
      </c>
      <c r="P528" s="146">
        <v>74</v>
      </c>
      <c r="Q528" s="145">
        <v>39</v>
      </c>
      <c r="R528" s="155">
        <v>3</v>
      </c>
      <c r="S528" s="77">
        <f t="shared" si="217"/>
        <v>304</v>
      </c>
      <c r="T528" s="78">
        <f t="shared" si="218"/>
        <v>149</v>
      </c>
      <c r="U528" s="79">
        <v>40</v>
      </c>
      <c r="V528" s="23">
        <v>16</v>
      </c>
      <c r="W528" s="80">
        <f>I528+L528+O528+R528</f>
        <v>12</v>
      </c>
    </row>
    <row r="529" spans="1:23" ht="30" customHeight="1" x14ac:dyDescent="0.25">
      <c r="A529" s="155" t="s">
        <v>222</v>
      </c>
      <c r="B529" s="20">
        <v>47</v>
      </c>
      <c r="C529" s="21" t="s">
        <v>53</v>
      </c>
      <c r="D529" s="280" t="s">
        <v>173</v>
      </c>
      <c r="E529" s="21" t="s">
        <v>133</v>
      </c>
      <c r="F529" s="155" t="s">
        <v>105</v>
      </c>
      <c r="G529" s="154">
        <v>66</v>
      </c>
      <c r="H529" s="155">
        <v>35</v>
      </c>
      <c r="I529" s="155">
        <v>3</v>
      </c>
      <c r="J529" s="154">
        <f>61+22</f>
        <v>83</v>
      </c>
      <c r="K529" s="155">
        <f>25+11</f>
        <v>36</v>
      </c>
      <c r="L529" s="155">
        <v>3</v>
      </c>
      <c r="M529" s="146">
        <v>70</v>
      </c>
      <c r="N529" s="145">
        <v>29</v>
      </c>
      <c r="O529" s="155">
        <v>3</v>
      </c>
      <c r="P529" s="146">
        <v>68</v>
      </c>
      <c r="Q529" s="145">
        <v>40</v>
      </c>
      <c r="R529" s="155">
        <v>3</v>
      </c>
      <c r="S529" s="77">
        <f t="shared" si="217"/>
        <v>287</v>
      </c>
      <c r="T529" s="78">
        <f t="shared" si="218"/>
        <v>140</v>
      </c>
      <c r="U529" s="79">
        <v>42</v>
      </c>
      <c r="V529" s="23">
        <v>21</v>
      </c>
      <c r="W529" s="80">
        <f>I529+L529+O529+R529</f>
        <v>12</v>
      </c>
    </row>
    <row r="530" spans="1:23" ht="30" customHeight="1" thickBot="1" x14ac:dyDescent="0.3">
      <c r="A530" s="149" t="s">
        <v>222</v>
      </c>
      <c r="B530" s="314" t="s">
        <v>94</v>
      </c>
      <c r="C530" s="303"/>
      <c r="D530" s="303"/>
      <c r="E530" s="315"/>
      <c r="F530" s="311"/>
      <c r="G530" s="312">
        <f>SUM(G526:G529)</f>
        <v>241</v>
      </c>
      <c r="H530" s="308">
        <f t="shared" ref="H530:W530" si="219">SUM(H526:H529)</f>
        <v>123</v>
      </c>
      <c r="I530" s="308">
        <f t="shared" si="219"/>
        <v>10</v>
      </c>
      <c r="J530" s="313">
        <f t="shared" si="219"/>
        <v>260</v>
      </c>
      <c r="K530" s="308">
        <f t="shared" si="219"/>
        <v>122</v>
      </c>
      <c r="L530" s="308">
        <f t="shared" si="219"/>
        <v>10</v>
      </c>
      <c r="M530" s="313">
        <f t="shared" si="219"/>
        <v>238</v>
      </c>
      <c r="N530" s="308">
        <f t="shared" si="219"/>
        <v>108</v>
      </c>
      <c r="O530" s="308">
        <f t="shared" si="219"/>
        <v>10</v>
      </c>
      <c r="P530" s="313">
        <f t="shared" si="219"/>
        <v>221</v>
      </c>
      <c r="Q530" s="308">
        <f t="shared" si="219"/>
        <v>119</v>
      </c>
      <c r="R530" s="308">
        <f t="shared" si="219"/>
        <v>9</v>
      </c>
      <c r="S530" s="313">
        <f t="shared" si="219"/>
        <v>960</v>
      </c>
      <c r="T530" s="308">
        <f t="shared" si="219"/>
        <v>472</v>
      </c>
      <c r="U530" s="308">
        <f t="shared" si="219"/>
        <v>124</v>
      </c>
      <c r="V530" s="308">
        <f t="shared" si="219"/>
        <v>58</v>
      </c>
      <c r="W530" s="316">
        <f t="shared" si="219"/>
        <v>39</v>
      </c>
    </row>
    <row r="531" spans="1:23" ht="30" customHeight="1" thickBot="1" x14ac:dyDescent="0.3">
      <c r="A531" s="43" t="s">
        <v>222</v>
      </c>
      <c r="B531" s="317" t="s">
        <v>95</v>
      </c>
      <c r="C531" s="318"/>
      <c r="D531" s="318"/>
      <c r="E531" s="318"/>
      <c r="F531" s="319"/>
      <c r="G531" s="321">
        <f>G514+G520+G525+G530</f>
        <v>735</v>
      </c>
      <c r="H531" s="330">
        <f t="shared" ref="H531:W531" si="220">H514+H520+H525+H530</f>
        <v>354</v>
      </c>
      <c r="I531" s="323">
        <f t="shared" si="220"/>
        <v>31.75</v>
      </c>
      <c r="J531" s="324">
        <f t="shared" si="220"/>
        <v>785</v>
      </c>
      <c r="K531" s="323">
        <f t="shared" si="220"/>
        <v>414</v>
      </c>
      <c r="L531" s="94">
        <f t="shared" si="220"/>
        <v>30.75</v>
      </c>
      <c r="M531" s="26">
        <f t="shared" si="220"/>
        <v>732</v>
      </c>
      <c r="N531" s="64">
        <f t="shared" si="220"/>
        <v>344</v>
      </c>
      <c r="O531" s="81">
        <f t="shared" si="220"/>
        <v>30.75</v>
      </c>
      <c r="P531" s="26">
        <f t="shared" si="220"/>
        <v>731</v>
      </c>
      <c r="Q531" s="64">
        <f t="shared" si="220"/>
        <v>379</v>
      </c>
      <c r="R531" s="81">
        <f t="shared" si="220"/>
        <v>30.75</v>
      </c>
      <c r="S531" s="42">
        <f t="shared" si="220"/>
        <v>2983</v>
      </c>
      <c r="T531" s="95">
        <f t="shared" si="220"/>
        <v>1491</v>
      </c>
      <c r="U531" s="25">
        <f t="shared" si="220"/>
        <v>365</v>
      </c>
      <c r="V531" s="84">
        <f t="shared" si="220"/>
        <v>176</v>
      </c>
      <c r="W531" s="85">
        <f t="shared" si="220"/>
        <v>124</v>
      </c>
    </row>
    <row r="532" spans="1:23" ht="30" customHeight="1" x14ac:dyDescent="0.25">
      <c r="A532" s="44" t="s">
        <v>222</v>
      </c>
      <c r="B532" s="20">
        <v>51</v>
      </c>
      <c r="C532" s="21" t="s">
        <v>66</v>
      </c>
      <c r="D532" s="280" t="s">
        <v>174</v>
      </c>
      <c r="E532" s="21" t="s">
        <v>26</v>
      </c>
      <c r="F532" s="155" t="s">
        <v>105</v>
      </c>
      <c r="G532" s="154">
        <v>54</v>
      </c>
      <c r="H532" s="155">
        <v>20</v>
      </c>
      <c r="I532" s="158">
        <v>2</v>
      </c>
      <c r="J532" s="279">
        <v>67</v>
      </c>
      <c r="K532" s="158">
        <v>30</v>
      </c>
      <c r="L532" s="155">
        <v>3</v>
      </c>
      <c r="M532" s="146">
        <v>67</v>
      </c>
      <c r="N532" s="145">
        <v>28</v>
      </c>
      <c r="O532" s="155">
        <v>3</v>
      </c>
      <c r="P532" s="146">
        <v>65</v>
      </c>
      <c r="Q532" s="145">
        <v>36</v>
      </c>
      <c r="R532" s="155">
        <v>3</v>
      </c>
      <c r="S532" s="77">
        <f t="shared" ref="S532:S569" si="221">G532+J532+M532+P532</f>
        <v>253</v>
      </c>
      <c r="T532" s="78">
        <f t="shared" ref="T532:T569" si="222">H532+K532+N532+Q532</f>
        <v>114</v>
      </c>
      <c r="U532" s="79">
        <v>57</v>
      </c>
      <c r="V532" s="23">
        <v>25</v>
      </c>
      <c r="W532" s="80">
        <f>I532+L532+O532+R532</f>
        <v>11</v>
      </c>
    </row>
    <row r="533" spans="1:23" ht="30" customHeight="1" x14ac:dyDescent="0.25">
      <c r="A533" s="10" t="s">
        <v>222</v>
      </c>
      <c r="B533" s="33">
        <v>51</v>
      </c>
      <c r="C533" s="34" t="s">
        <v>66</v>
      </c>
      <c r="D533" s="280" t="s">
        <v>175</v>
      </c>
      <c r="E533" s="21" t="s">
        <v>41</v>
      </c>
      <c r="F533" s="155" t="s">
        <v>107</v>
      </c>
      <c r="G533" s="154">
        <v>77</v>
      </c>
      <c r="H533" s="155">
        <v>35</v>
      </c>
      <c r="I533" s="10">
        <v>3</v>
      </c>
      <c r="J533" s="92">
        <v>78</v>
      </c>
      <c r="K533" s="10">
        <v>34</v>
      </c>
      <c r="L533" s="10">
        <v>3</v>
      </c>
      <c r="M533" s="8">
        <v>77</v>
      </c>
      <c r="N533" s="9">
        <v>38</v>
      </c>
      <c r="O533" s="10">
        <v>3</v>
      </c>
      <c r="P533" s="8">
        <v>72</v>
      </c>
      <c r="Q533" s="9">
        <v>31</v>
      </c>
      <c r="R533" s="10">
        <v>3</v>
      </c>
      <c r="S533" s="92">
        <f t="shared" si="221"/>
        <v>304</v>
      </c>
      <c r="T533" s="17">
        <f t="shared" si="222"/>
        <v>138</v>
      </c>
      <c r="U533" s="12">
        <v>25</v>
      </c>
      <c r="V533" s="35">
        <v>11</v>
      </c>
      <c r="W533" s="93">
        <f>I533+L533+O533+R533</f>
        <v>12</v>
      </c>
    </row>
    <row r="534" spans="1:23" ht="30" customHeight="1" x14ac:dyDescent="0.25">
      <c r="A534" s="10" t="s">
        <v>222</v>
      </c>
      <c r="B534" s="33">
        <v>51</v>
      </c>
      <c r="C534" s="34" t="s">
        <v>66</v>
      </c>
      <c r="D534" s="280" t="s">
        <v>176</v>
      </c>
      <c r="E534" s="21" t="s">
        <v>206</v>
      </c>
      <c r="F534" s="155" t="s">
        <v>106</v>
      </c>
      <c r="G534" s="154">
        <v>83</v>
      </c>
      <c r="H534" s="155">
        <v>42</v>
      </c>
      <c r="I534" s="10">
        <v>4</v>
      </c>
      <c r="J534" s="92">
        <f>84+15</f>
        <v>99</v>
      </c>
      <c r="K534" s="10">
        <f>43+8</f>
        <v>51</v>
      </c>
      <c r="L534" s="10">
        <v>4</v>
      </c>
      <c r="M534" s="91">
        <v>104</v>
      </c>
      <c r="N534" s="17">
        <v>56</v>
      </c>
      <c r="O534" s="10">
        <v>4</v>
      </c>
      <c r="P534" s="91">
        <v>95</v>
      </c>
      <c r="Q534" s="17">
        <v>55</v>
      </c>
      <c r="R534" s="10">
        <v>4</v>
      </c>
      <c r="S534" s="92">
        <f t="shared" si="221"/>
        <v>381</v>
      </c>
      <c r="T534" s="17">
        <f t="shared" si="222"/>
        <v>204</v>
      </c>
      <c r="U534" s="12">
        <v>34</v>
      </c>
      <c r="V534" s="35">
        <v>21</v>
      </c>
      <c r="W534" s="93">
        <f>I534+L534+O534+R534</f>
        <v>16</v>
      </c>
    </row>
    <row r="535" spans="1:23" ht="30" customHeight="1" x14ac:dyDescent="0.25">
      <c r="A535" s="155" t="s">
        <v>222</v>
      </c>
      <c r="B535" s="20">
        <v>52</v>
      </c>
      <c r="C535" s="21" t="s">
        <v>72</v>
      </c>
      <c r="D535" s="280" t="s">
        <v>177</v>
      </c>
      <c r="E535" s="21" t="s">
        <v>29</v>
      </c>
      <c r="F535" s="155" t="s">
        <v>105</v>
      </c>
      <c r="G535" s="154">
        <v>41</v>
      </c>
      <c r="H535" s="155">
        <v>21</v>
      </c>
      <c r="I535" s="155">
        <v>2</v>
      </c>
      <c r="J535" s="154">
        <v>48</v>
      </c>
      <c r="K535" s="155">
        <v>28</v>
      </c>
      <c r="L535" s="155">
        <v>2</v>
      </c>
      <c r="M535" s="146">
        <v>37</v>
      </c>
      <c r="N535" s="145">
        <v>14</v>
      </c>
      <c r="O535" s="155">
        <v>2</v>
      </c>
      <c r="P535" s="146">
        <v>41</v>
      </c>
      <c r="Q535" s="145">
        <v>18</v>
      </c>
      <c r="R535" s="155">
        <v>2</v>
      </c>
      <c r="S535" s="77">
        <f t="shared" si="221"/>
        <v>167</v>
      </c>
      <c r="T535" s="78">
        <f t="shared" si="222"/>
        <v>81</v>
      </c>
      <c r="U535" s="79">
        <v>17</v>
      </c>
      <c r="V535" s="23">
        <v>9</v>
      </c>
      <c r="W535" s="80">
        <f>I535+L535+O535+R535</f>
        <v>8</v>
      </c>
    </row>
    <row r="536" spans="1:23" ht="30" customHeight="1" x14ac:dyDescent="0.25">
      <c r="A536" s="10" t="s">
        <v>222</v>
      </c>
      <c r="B536" s="33">
        <v>54</v>
      </c>
      <c r="C536" s="34" t="s">
        <v>89</v>
      </c>
      <c r="D536" s="280" t="s">
        <v>178</v>
      </c>
      <c r="E536" s="21" t="s">
        <v>111</v>
      </c>
      <c r="F536" s="155" t="s">
        <v>107</v>
      </c>
      <c r="G536" s="154">
        <v>75</v>
      </c>
      <c r="H536" s="155">
        <v>42</v>
      </c>
      <c r="I536" s="10">
        <v>3</v>
      </c>
      <c r="J536" s="92">
        <v>62</v>
      </c>
      <c r="K536" s="10">
        <v>26</v>
      </c>
      <c r="L536" s="10">
        <v>2</v>
      </c>
      <c r="M536" s="8">
        <v>51</v>
      </c>
      <c r="N536" s="9">
        <v>25</v>
      </c>
      <c r="O536" s="10">
        <v>2</v>
      </c>
      <c r="P536" s="8">
        <v>49</v>
      </c>
      <c r="Q536" s="9">
        <v>20</v>
      </c>
      <c r="R536" s="10">
        <v>2</v>
      </c>
      <c r="S536" s="92">
        <f t="shared" si="221"/>
        <v>237</v>
      </c>
      <c r="T536" s="17">
        <f t="shared" si="222"/>
        <v>113</v>
      </c>
      <c r="U536" s="12">
        <v>33</v>
      </c>
      <c r="V536" s="35">
        <v>13</v>
      </c>
      <c r="W536" s="93">
        <f>I536+L536+O536+R536</f>
        <v>9</v>
      </c>
    </row>
    <row r="537" spans="1:23" ht="30" customHeight="1" x14ac:dyDescent="0.25">
      <c r="A537" s="10" t="s">
        <v>222</v>
      </c>
      <c r="B537" s="33">
        <v>56</v>
      </c>
      <c r="C537" s="34" t="s">
        <v>83</v>
      </c>
      <c r="D537" s="280" t="s">
        <v>179</v>
      </c>
      <c r="E537" s="21" t="s">
        <v>38</v>
      </c>
      <c r="F537" s="155" t="s">
        <v>107</v>
      </c>
      <c r="G537" s="154">
        <v>79</v>
      </c>
      <c r="H537" s="155">
        <v>34</v>
      </c>
      <c r="I537" s="10">
        <v>3</v>
      </c>
      <c r="J537" s="92">
        <v>79</v>
      </c>
      <c r="K537" s="10">
        <v>37</v>
      </c>
      <c r="L537" s="10">
        <v>3</v>
      </c>
      <c r="M537" s="8">
        <v>94</v>
      </c>
      <c r="N537" s="9">
        <v>53</v>
      </c>
      <c r="O537" s="10">
        <v>4</v>
      </c>
      <c r="P537" s="8">
        <v>60</v>
      </c>
      <c r="Q537" s="9">
        <v>30</v>
      </c>
      <c r="R537" s="10">
        <v>3</v>
      </c>
      <c r="S537" s="325">
        <f t="shared" si="221"/>
        <v>312</v>
      </c>
      <c r="T537" s="17">
        <f t="shared" si="222"/>
        <v>154</v>
      </c>
      <c r="U537" s="12">
        <v>22</v>
      </c>
      <c r="V537" s="35">
        <v>15</v>
      </c>
      <c r="W537" s="93">
        <f>I537+L537+O537+R537</f>
        <v>13</v>
      </c>
    </row>
    <row r="538" spans="1:23" ht="30" customHeight="1" x14ac:dyDescent="0.25">
      <c r="A538" s="155" t="s">
        <v>222</v>
      </c>
      <c r="B538" s="20">
        <v>57</v>
      </c>
      <c r="C538" s="21" t="s">
        <v>63</v>
      </c>
      <c r="D538" s="280" t="s">
        <v>180</v>
      </c>
      <c r="E538" s="21" t="s">
        <v>23</v>
      </c>
      <c r="F538" s="155" t="s">
        <v>105</v>
      </c>
      <c r="G538" s="154">
        <v>88</v>
      </c>
      <c r="H538" s="155">
        <v>40</v>
      </c>
      <c r="I538" s="155">
        <v>4</v>
      </c>
      <c r="J538" s="154">
        <v>94</v>
      </c>
      <c r="K538" s="155">
        <v>37</v>
      </c>
      <c r="L538" s="155">
        <v>4</v>
      </c>
      <c r="M538" s="146">
        <v>114</v>
      </c>
      <c r="N538" s="145">
        <v>50</v>
      </c>
      <c r="O538" s="155">
        <v>5</v>
      </c>
      <c r="P538" s="146">
        <v>100</v>
      </c>
      <c r="Q538" s="145">
        <v>52</v>
      </c>
      <c r="R538" s="155">
        <v>4</v>
      </c>
      <c r="S538" s="77">
        <f t="shared" si="221"/>
        <v>396</v>
      </c>
      <c r="T538" s="78">
        <f t="shared" si="222"/>
        <v>179</v>
      </c>
      <c r="U538" s="79">
        <v>51</v>
      </c>
      <c r="V538" s="23">
        <v>25</v>
      </c>
      <c r="W538" s="80">
        <f>I538+L538+O538+R538</f>
        <v>17</v>
      </c>
    </row>
    <row r="539" spans="1:23" ht="30" customHeight="1" x14ac:dyDescent="0.25">
      <c r="A539" s="155" t="s">
        <v>222</v>
      </c>
      <c r="B539" s="45">
        <v>58</v>
      </c>
      <c r="C539" s="46" t="s">
        <v>50</v>
      </c>
      <c r="D539" s="282" t="s">
        <v>181</v>
      </c>
      <c r="E539" s="46" t="s">
        <v>215</v>
      </c>
      <c r="F539" s="149" t="s">
        <v>105</v>
      </c>
      <c r="G539" s="63">
        <v>66</v>
      </c>
      <c r="H539" s="149">
        <v>35</v>
      </c>
      <c r="I539" s="155">
        <v>3</v>
      </c>
      <c r="J539" s="154">
        <v>54</v>
      </c>
      <c r="K539" s="155">
        <v>30</v>
      </c>
      <c r="L539" s="155">
        <v>2</v>
      </c>
      <c r="M539" s="146">
        <v>48</v>
      </c>
      <c r="N539" s="145">
        <v>23</v>
      </c>
      <c r="O539" s="155">
        <v>2</v>
      </c>
      <c r="P539" s="146">
        <v>57</v>
      </c>
      <c r="Q539" s="145">
        <v>32</v>
      </c>
      <c r="R539" s="155">
        <v>2</v>
      </c>
      <c r="S539" s="77">
        <f t="shared" si="221"/>
        <v>225</v>
      </c>
      <c r="T539" s="78">
        <f t="shared" si="222"/>
        <v>120</v>
      </c>
      <c r="U539" s="79">
        <v>21</v>
      </c>
      <c r="V539" s="23">
        <v>13</v>
      </c>
      <c r="W539" s="80">
        <f>I539+L539+O539+R539</f>
        <v>9</v>
      </c>
    </row>
    <row r="540" spans="1:23" ht="30" customHeight="1" thickBot="1" x14ac:dyDescent="0.3">
      <c r="A540" s="36" t="s">
        <v>222</v>
      </c>
      <c r="B540" s="314" t="s">
        <v>96</v>
      </c>
      <c r="C540" s="303"/>
      <c r="D540" s="303"/>
      <c r="E540" s="315"/>
      <c r="F540" s="311"/>
      <c r="G540" s="27">
        <f t="shared" ref="G540:R540" si="223">SUM(G532:G539)</f>
        <v>563</v>
      </c>
      <c r="H540" s="81">
        <f t="shared" si="223"/>
        <v>269</v>
      </c>
      <c r="I540" s="81">
        <f t="shared" si="223"/>
        <v>24</v>
      </c>
      <c r="J540" s="27">
        <f t="shared" si="223"/>
        <v>581</v>
      </c>
      <c r="K540" s="81">
        <f t="shared" si="223"/>
        <v>273</v>
      </c>
      <c r="L540" s="96">
        <f t="shared" si="223"/>
        <v>23</v>
      </c>
      <c r="M540" s="26">
        <f t="shared" si="223"/>
        <v>592</v>
      </c>
      <c r="N540" s="64">
        <f t="shared" si="223"/>
        <v>287</v>
      </c>
      <c r="O540" s="81">
        <f t="shared" si="223"/>
        <v>25</v>
      </c>
      <c r="P540" s="26">
        <f t="shared" si="223"/>
        <v>539</v>
      </c>
      <c r="Q540" s="64">
        <f t="shared" si="223"/>
        <v>274</v>
      </c>
      <c r="R540" s="81">
        <f t="shared" si="223"/>
        <v>23</v>
      </c>
      <c r="S540" s="42">
        <f t="shared" si="221"/>
        <v>2275</v>
      </c>
      <c r="T540" s="95">
        <f t="shared" si="222"/>
        <v>1103</v>
      </c>
      <c r="U540" s="25">
        <f t="shared" ref="U540:W540" si="224">SUM(U532:U539)</f>
        <v>260</v>
      </c>
      <c r="V540" s="84">
        <f t="shared" si="224"/>
        <v>132</v>
      </c>
      <c r="W540" s="85">
        <f t="shared" si="224"/>
        <v>95</v>
      </c>
    </row>
    <row r="541" spans="1:23" ht="30" customHeight="1" x14ac:dyDescent="0.25">
      <c r="A541" s="37" t="s">
        <v>222</v>
      </c>
      <c r="B541" s="33">
        <v>61</v>
      </c>
      <c r="C541" s="34" t="s">
        <v>69</v>
      </c>
      <c r="D541" s="280" t="s">
        <v>182</v>
      </c>
      <c r="E541" s="21" t="s">
        <v>208</v>
      </c>
      <c r="F541" s="155" t="s">
        <v>106</v>
      </c>
      <c r="G541" s="154">
        <v>34</v>
      </c>
      <c r="H541" s="155">
        <v>20</v>
      </c>
      <c r="I541" s="29">
        <v>2.5</v>
      </c>
      <c r="J541" s="88">
        <f>45+25</f>
        <v>70</v>
      </c>
      <c r="K541" s="29">
        <f>19+12</f>
        <v>31</v>
      </c>
      <c r="L541" s="10">
        <v>2.5</v>
      </c>
      <c r="M541" s="91">
        <v>34</v>
      </c>
      <c r="N541" s="17">
        <v>19</v>
      </c>
      <c r="O541" s="10">
        <v>2</v>
      </c>
      <c r="P541" s="91">
        <v>54</v>
      </c>
      <c r="Q541" s="17">
        <v>25</v>
      </c>
      <c r="R541" s="10">
        <v>2</v>
      </c>
      <c r="S541" s="92">
        <f t="shared" si="221"/>
        <v>192</v>
      </c>
      <c r="T541" s="17">
        <f t="shared" si="222"/>
        <v>95</v>
      </c>
      <c r="U541" s="12">
        <v>91</v>
      </c>
      <c r="V541" s="35">
        <v>43</v>
      </c>
      <c r="W541" s="93">
        <f>I541+L541+O541+R541</f>
        <v>9</v>
      </c>
    </row>
    <row r="542" spans="1:23" ht="30" customHeight="1" x14ac:dyDescent="0.25">
      <c r="A542" s="44" t="s">
        <v>222</v>
      </c>
      <c r="B542" s="20">
        <v>61</v>
      </c>
      <c r="C542" s="21" t="s">
        <v>69</v>
      </c>
      <c r="D542" s="280" t="s">
        <v>183</v>
      </c>
      <c r="E542" s="21" t="s">
        <v>209</v>
      </c>
      <c r="F542" s="155" t="s">
        <v>105</v>
      </c>
      <c r="G542" s="154">
        <v>74</v>
      </c>
      <c r="H542" s="155">
        <v>38</v>
      </c>
      <c r="I542" s="155">
        <v>3.5</v>
      </c>
      <c r="J542" s="154">
        <f>69+30</f>
        <v>99</v>
      </c>
      <c r="K542" s="155">
        <f>36+14</f>
        <v>50</v>
      </c>
      <c r="L542" s="155">
        <v>3.5</v>
      </c>
      <c r="M542" s="146">
        <v>68</v>
      </c>
      <c r="N542" s="145">
        <v>31</v>
      </c>
      <c r="O542" s="155">
        <v>3</v>
      </c>
      <c r="P542" s="146">
        <v>58</v>
      </c>
      <c r="Q542" s="145">
        <v>29</v>
      </c>
      <c r="R542" s="155">
        <v>3</v>
      </c>
      <c r="S542" s="77">
        <f t="shared" si="221"/>
        <v>299</v>
      </c>
      <c r="T542" s="17">
        <f t="shared" si="222"/>
        <v>148</v>
      </c>
      <c r="U542" s="79">
        <v>82</v>
      </c>
      <c r="V542" s="23">
        <v>37</v>
      </c>
      <c r="W542" s="80">
        <f>I542+L542+O542+R542</f>
        <v>13</v>
      </c>
    </row>
    <row r="543" spans="1:23" ht="30" customHeight="1" x14ac:dyDescent="0.25">
      <c r="A543" s="29" t="s">
        <v>222</v>
      </c>
      <c r="B543" s="47">
        <v>62</v>
      </c>
      <c r="C543" s="48" t="s">
        <v>77</v>
      </c>
      <c r="D543" s="113" t="s">
        <v>184</v>
      </c>
      <c r="E543" s="11" t="s">
        <v>76</v>
      </c>
      <c r="F543" s="145" t="s">
        <v>106</v>
      </c>
      <c r="G543" s="146">
        <v>73</v>
      </c>
      <c r="H543" s="145">
        <v>35</v>
      </c>
      <c r="I543" s="10">
        <v>3</v>
      </c>
      <c r="J543" s="92">
        <v>78</v>
      </c>
      <c r="K543" s="17">
        <v>41</v>
      </c>
      <c r="L543" s="97">
        <v>3</v>
      </c>
      <c r="M543" s="91">
        <v>70</v>
      </c>
      <c r="N543" s="17">
        <v>33</v>
      </c>
      <c r="O543" s="10">
        <v>3</v>
      </c>
      <c r="P543" s="91">
        <v>59</v>
      </c>
      <c r="Q543" s="17">
        <v>24</v>
      </c>
      <c r="R543" s="10">
        <v>3</v>
      </c>
      <c r="S543" s="91">
        <f t="shared" si="221"/>
        <v>280</v>
      </c>
      <c r="T543" s="17">
        <f t="shared" si="222"/>
        <v>133</v>
      </c>
      <c r="U543" s="12">
        <v>35</v>
      </c>
      <c r="V543" s="35">
        <v>12</v>
      </c>
      <c r="W543" s="93">
        <f>I543+L543+O543+R543</f>
        <v>12</v>
      </c>
    </row>
    <row r="544" spans="1:23" ht="30" customHeight="1" x14ac:dyDescent="0.25">
      <c r="A544" s="10" t="s">
        <v>222</v>
      </c>
      <c r="B544" s="47">
        <v>63</v>
      </c>
      <c r="C544" s="48" t="s">
        <v>80</v>
      </c>
      <c r="D544" s="113" t="s">
        <v>185</v>
      </c>
      <c r="E544" s="11" t="s">
        <v>110</v>
      </c>
      <c r="F544" s="145" t="s">
        <v>107</v>
      </c>
      <c r="G544" s="146">
        <v>45</v>
      </c>
      <c r="H544" s="145">
        <v>21</v>
      </c>
      <c r="I544" s="10">
        <v>2</v>
      </c>
      <c r="J544" s="92">
        <v>58</v>
      </c>
      <c r="K544" s="17">
        <v>31</v>
      </c>
      <c r="L544" s="97">
        <v>2</v>
      </c>
      <c r="M544" s="8">
        <v>51</v>
      </c>
      <c r="N544" s="9">
        <v>20</v>
      </c>
      <c r="O544" s="10">
        <v>2</v>
      </c>
      <c r="P544" s="8">
        <v>38</v>
      </c>
      <c r="Q544" s="9">
        <v>24</v>
      </c>
      <c r="R544" s="10">
        <v>2</v>
      </c>
      <c r="S544" s="91">
        <f t="shared" si="221"/>
        <v>192</v>
      </c>
      <c r="T544" s="17">
        <f t="shared" si="222"/>
        <v>96</v>
      </c>
      <c r="U544" s="12">
        <v>41</v>
      </c>
      <c r="V544" s="35">
        <v>18</v>
      </c>
      <c r="W544" s="93">
        <f>I544+L544+O544+R544</f>
        <v>8</v>
      </c>
    </row>
    <row r="545" spans="1:23" ht="30" customHeight="1" x14ac:dyDescent="0.25">
      <c r="A545" s="10" t="s">
        <v>222</v>
      </c>
      <c r="B545" s="47">
        <v>63</v>
      </c>
      <c r="C545" s="48" t="s">
        <v>80</v>
      </c>
      <c r="D545" s="113" t="s">
        <v>186</v>
      </c>
      <c r="E545" s="11" t="s">
        <v>210</v>
      </c>
      <c r="F545" s="145" t="s">
        <v>107</v>
      </c>
      <c r="G545" s="146">
        <v>46</v>
      </c>
      <c r="H545" s="145">
        <v>23</v>
      </c>
      <c r="I545" s="10">
        <v>3</v>
      </c>
      <c r="J545" s="92">
        <f>49+35</f>
        <v>84</v>
      </c>
      <c r="K545" s="17">
        <f>26+17</f>
        <v>43</v>
      </c>
      <c r="L545" s="97">
        <v>3</v>
      </c>
      <c r="M545" s="8">
        <v>45</v>
      </c>
      <c r="N545" s="9">
        <v>19</v>
      </c>
      <c r="O545" s="10">
        <v>2</v>
      </c>
      <c r="P545" s="8">
        <v>57</v>
      </c>
      <c r="Q545" s="9">
        <v>28</v>
      </c>
      <c r="R545" s="10">
        <v>2</v>
      </c>
      <c r="S545" s="91">
        <f t="shared" si="221"/>
        <v>232</v>
      </c>
      <c r="T545" s="17">
        <f t="shared" si="222"/>
        <v>113</v>
      </c>
      <c r="U545" s="12">
        <v>91</v>
      </c>
      <c r="V545" s="35">
        <v>49</v>
      </c>
      <c r="W545" s="93">
        <f>I545+L545+O545+R545</f>
        <v>10</v>
      </c>
    </row>
    <row r="546" spans="1:23" ht="30" customHeight="1" x14ac:dyDescent="0.25">
      <c r="A546" s="155" t="s">
        <v>222</v>
      </c>
      <c r="B546" s="163">
        <v>68</v>
      </c>
      <c r="C546" s="49" t="s">
        <v>56</v>
      </c>
      <c r="D546" s="283" t="s">
        <v>187</v>
      </c>
      <c r="E546" s="49" t="s">
        <v>218</v>
      </c>
      <c r="F546" s="152" t="s">
        <v>105</v>
      </c>
      <c r="G546" s="150">
        <v>34</v>
      </c>
      <c r="H546" s="152">
        <v>18</v>
      </c>
      <c r="I546" s="155">
        <v>1.5</v>
      </c>
      <c r="J546" s="154">
        <f>34+4</f>
        <v>38</v>
      </c>
      <c r="K546" s="145">
        <f>15+1</f>
        <v>16</v>
      </c>
      <c r="L546" s="157">
        <v>1.5</v>
      </c>
      <c r="M546" s="146">
        <v>41</v>
      </c>
      <c r="N546" s="145">
        <v>21</v>
      </c>
      <c r="O546" s="155">
        <v>2</v>
      </c>
      <c r="P546" s="146">
        <v>37</v>
      </c>
      <c r="Q546" s="145">
        <v>17</v>
      </c>
      <c r="R546" s="155">
        <v>2</v>
      </c>
      <c r="S546" s="98">
        <f t="shared" si="221"/>
        <v>150</v>
      </c>
      <c r="T546" s="78">
        <f t="shared" si="222"/>
        <v>72</v>
      </c>
      <c r="U546" s="79">
        <v>8</v>
      </c>
      <c r="V546" s="23">
        <v>3</v>
      </c>
      <c r="W546" s="80">
        <f>I546+L546+O546+R546</f>
        <v>7</v>
      </c>
    </row>
    <row r="547" spans="1:23" ht="30" customHeight="1" thickBot="1" x14ac:dyDescent="0.3">
      <c r="A547" s="36" t="s">
        <v>222</v>
      </c>
      <c r="B547" s="314" t="s">
        <v>98</v>
      </c>
      <c r="C547" s="303"/>
      <c r="D547" s="303"/>
      <c r="E547" s="315"/>
      <c r="F547" s="311"/>
      <c r="G547" s="312">
        <f t="shared" ref="G547:R547" si="225">SUM(G541:G546)</f>
        <v>306</v>
      </c>
      <c r="H547" s="331">
        <f t="shared" si="225"/>
        <v>155</v>
      </c>
      <c r="I547" s="149">
        <f t="shared" si="225"/>
        <v>15.5</v>
      </c>
      <c r="J547" s="63">
        <f t="shared" si="225"/>
        <v>427</v>
      </c>
      <c r="K547" s="149">
        <f t="shared" si="225"/>
        <v>212</v>
      </c>
      <c r="L547" s="109">
        <f t="shared" si="225"/>
        <v>15.5</v>
      </c>
      <c r="M547" s="26">
        <f t="shared" si="225"/>
        <v>309</v>
      </c>
      <c r="N547" s="64">
        <f t="shared" si="225"/>
        <v>143</v>
      </c>
      <c r="O547" s="81">
        <f t="shared" si="225"/>
        <v>14</v>
      </c>
      <c r="P547" s="26">
        <f t="shared" si="225"/>
        <v>303</v>
      </c>
      <c r="Q547" s="64">
        <f t="shared" si="225"/>
        <v>147</v>
      </c>
      <c r="R547" s="81">
        <f t="shared" si="225"/>
        <v>14</v>
      </c>
      <c r="S547" s="42">
        <f t="shared" si="221"/>
        <v>1345</v>
      </c>
      <c r="T547" s="95">
        <f t="shared" si="222"/>
        <v>657</v>
      </c>
      <c r="U547" s="25">
        <f t="shared" ref="U547:W547" si="226">SUM(U541:U546)</f>
        <v>348</v>
      </c>
      <c r="V547" s="84">
        <f t="shared" si="226"/>
        <v>162</v>
      </c>
      <c r="W547" s="85">
        <f t="shared" si="226"/>
        <v>59</v>
      </c>
    </row>
    <row r="548" spans="1:23" ht="30" customHeight="1" x14ac:dyDescent="0.25">
      <c r="A548" s="10" t="s">
        <v>222</v>
      </c>
      <c r="B548" s="47">
        <v>71</v>
      </c>
      <c r="C548" s="48" t="s">
        <v>71</v>
      </c>
      <c r="D548" s="113" t="s">
        <v>188</v>
      </c>
      <c r="E548" s="11" t="s">
        <v>39</v>
      </c>
      <c r="F548" s="145" t="s">
        <v>107</v>
      </c>
      <c r="G548" s="146">
        <v>54</v>
      </c>
      <c r="H548" s="145">
        <v>28</v>
      </c>
      <c r="I548" s="309">
        <v>2</v>
      </c>
      <c r="J548" s="310">
        <v>82</v>
      </c>
      <c r="K548" s="297">
        <v>40</v>
      </c>
      <c r="L548" s="97">
        <v>3</v>
      </c>
      <c r="M548" s="8">
        <v>46</v>
      </c>
      <c r="N548" s="9">
        <v>24</v>
      </c>
      <c r="O548" s="10">
        <v>2</v>
      </c>
      <c r="P548" s="8">
        <v>53</v>
      </c>
      <c r="Q548" s="9">
        <v>22</v>
      </c>
      <c r="R548" s="10">
        <v>2</v>
      </c>
      <c r="S548" s="91">
        <f t="shared" si="221"/>
        <v>235</v>
      </c>
      <c r="T548" s="17">
        <f t="shared" si="222"/>
        <v>114</v>
      </c>
      <c r="U548" s="12">
        <v>22</v>
      </c>
      <c r="V548" s="35">
        <v>10</v>
      </c>
      <c r="W548" s="99">
        <f>I548+L548+O548+R548</f>
        <v>9</v>
      </c>
    </row>
    <row r="549" spans="1:23" ht="30" customHeight="1" x14ac:dyDescent="0.25">
      <c r="A549" s="155" t="s">
        <v>222</v>
      </c>
      <c r="B549" s="39">
        <v>71</v>
      </c>
      <c r="C549" s="11" t="s">
        <v>71</v>
      </c>
      <c r="D549" s="113" t="s">
        <v>189</v>
      </c>
      <c r="E549" s="11" t="s">
        <v>28</v>
      </c>
      <c r="F549" s="145" t="s">
        <v>105</v>
      </c>
      <c r="G549" s="146">
        <v>37</v>
      </c>
      <c r="H549" s="145">
        <v>16</v>
      </c>
      <c r="I549" s="155">
        <v>2</v>
      </c>
      <c r="J549" s="154">
        <v>27</v>
      </c>
      <c r="K549" s="145">
        <v>10</v>
      </c>
      <c r="L549" s="157">
        <v>1</v>
      </c>
      <c r="M549" s="146">
        <v>27</v>
      </c>
      <c r="N549" s="145">
        <v>14</v>
      </c>
      <c r="O549" s="155">
        <v>1</v>
      </c>
      <c r="P549" s="146">
        <v>25</v>
      </c>
      <c r="Q549" s="145">
        <v>12</v>
      </c>
      <c r="R549" s="155">
        <v>1</v>
      </c>
      <c r="S549" s="91">
        <f t="shared" si="221"/>
        <v>116</v>
      </c>
      <c r="T549" s="17">
        <f t="shared" si="222"/>
        <v>52</v>
      </c>
      <c r="U549" s="79">
        <v>2</v>
      </c>
      <c r="V549" s="23">
        <v>0</v>
      </c>
      <c r="W549" s="93">
        <f>I549+L549+O549+R549</f>
        <v>5</v>
      </c>
    </row>
    <row r="550" spans="1:23" ht="30" customHeight="1" thickBot="1" x14ac:dyDescent="0.3">
      <c r="A550" s="50" t="s">
        <v>222</v>
      </c>
      <c r="B550" s="47">
        <v>76</v>
      </c>
      <c r="C550" s="48" t="s">
        <v>78</v>
      </c>
      <c r="D550" s="113" t="s">
        <v>190</v>
      </c>
      <c r="E550" s="11" t="s">
        <v>224</v>
      </c>
      <c r="F550" s="145" t="s">
        <v>107</v>
      </c>
      <c r="G550" s="146">
        <v>34</v>
      </c>
      <c r="H550" s="145">
        <v>16</v>
      </c>
      <c r="I550" s="10">
        <v>1.5</v>
      </c>
      <c r="J550" s="92">
        <f>33+5</f>
        <v>38</v>
      </c>
      <c r="K550" s="17">
        <f>17+1</f>
        <v>18</v>
      </c>
      <c r="L550" s="97">
        <v>1.5</v>
      </c>
      <c r="M550" s="100">
        <v>32</v>
      </c>
      <c r="N550" s="9">
        <v>16</v>
      </c>
      <c r="O550" s="10">
        <v>1.5</v>
      </c>
      <c r="P550" s="8">
        <v>28</v>
      </c>
      <c r="Q550" s="9">
        <v>16</v>
      </c>
      <c r="R550" s="10">
        <v>1.5</v>
      </c>
      <c r="S550" s="91">
        <f t="shared" si="221"/>
        <v>132</v>
      </c>
      <c r="T550" s="17">
        <f t="shared" si="222"/>
        <v>66</v>
      </c>
      <c r="U550" s="12">
        <v>11</v>
      </c>
      <c r="V550" s="35">
        <v>5</v>
      </c>
      <c r="W550" s="93">
        <f>I550+L550+O550+R550</f>
        <v>6</v>
      </c>
    </row>
    <row r="551" spans="1:23" ht="30" customHeight="1" x14ac:dyDescent="0.25">
      <c r="A551" s="158" t="s">
        <v>222</v>
      </c>
      <c r="B551" s="39">
        <v>77</v>
      </c>
      <c r="C551" s="11" t="s">
        <v>59</v>
      </c>
      <c r="D551" s="113" t="s">
        <v>191</v>
      </c>
      <c r="E551" s="11" t="s">
        <v>20</v>
      </c>
      <c r="F551" s="145" t="s">
        <v>105</v>
      </c>
      <c r="G551" s="146">
        <v>50</v>
      </c>
      <c r="H551" s="145">
        <v>20</v>
      </c>
      <c r="I551" s="155">
        <v>2</v>
      </c>
      <c r="J551" s="154">
        <v>54</v>
      </c>
      <c r="K551" s="155">
        <v>22</v>
      </c>
      <c r="L551" s="155">
        <v>2</v>
      </c>
      <c r="M551" s="146">
        <v>48</v>
      </c>
      <c r="N551" s="145">
        <v>18</v>
      </c>
      <c r="O551" s="155">
        <v>2</v>
      </c>
      <c r="P551" s="146">
        <v>57</v>
      </c>
      <c r="Q551" s="145">
        <v>24</v>
      </c>
      <c r="R551" s="155">
        <v>2</v>
      </c>
      <c r="S551" s="98">
        <f t="shared" si="221"/>
        <v>209</v>
      </c>
      <c r="T551" s="78">
        <f t="shared" si="222"/>
        <v>84</v>
      </c>
      <c r="U551" s="79">
        <v>12</v>
      </c>
      <c r="V551" s="22">
        <v>6</v>
      </c>
      <c r="W551" s="80">
        <f>I551+L551+O551+R551</f>
        <v>8</v>
      </c>
    </row>
    <row r="552" spans="1:23" ht="30" customHeight="1" x14ac:dyDescent="0.25">
      <c r="A552" s="50" t="s">
        <v>222</v>
      </c>
      <c r="B552" s="51">
        <v>77</v>
      </c>
      <c r="C552" s="48" t="s">
        <v>59</v>
      </c>
      <c r="D552" s="113" t="s">
        <v>192</v>
      </c>
      <c r="E552" s="11" t="s">
        <v>40</v>
      </c>
      <c r="F552" s="145" t="s">
        <v>107</v>
      </c>
      <c r="G552" s="146">
        <v>38</v>
      </c>
      <c r="H552" s="145">
        <v>24</v>
      </c>
      <c r="I552" s="10">
        <v>2</v>
      </c>
      <c r="J552" s="92">
        <v>52</v>
      </c>
      <c r="K552" s="10">
        <v>29</v>
      </c>
      <c r="L552" s="10">
        <v>2</v>
      </c>
      <c r="M552" s="8">
        <v>61</v>
      </c>
      <c r="N552" s="9">
        <v>38</v>
      </c>
      <c r="O552" s="10">
        <v>3</v>
      </c>
      <c r="P552" s="8">
        <v>50</v>
      </c>
      <c r="Q552" s="9">
        <v>30</v>
      </c>
      <c r="R552" s="10">
        <v>2</v>
      </c>
      <c r="S552" s="91">
        <f t="shared" si="221"/>
        <v>201</v>
      </c>
      <c r="T552" s="17">
        <f t="shared" si="222"/>
        <v>121</v>
      </c>
      <c r="U552" s="12">
        <v>38</v>
      </c>
      <c r="V552" s="16">
        <v>21</v>
      </c>
      <c r="W552" s="93">
        <f>I552+L552+O552+R552</f>
        <v>9</v>
      </c>
    </row>
    <row r="553" spans="1:23" ht="30" customHeight="1" thickBot="1" x14ac:dyDescent="0.3">
      <c r="A553" s="36" t="s">
        <v>222</v>
      </c>
      <c r="B553" s="314" t="s">
        <v>97</v>
      </c>
      <c r="C553" s="303"/>
      <c r="D553" s="303"/>
      <c r="E553" s="315"/>
      <c r="F553" s="311"/>
      <c r="G553" s="312">
        <f t="shared" ref="G553:R553" si="227">SUM(G548:G552)</f>
        <v>213</v>
      </c>
      <c r="H553" s="308">
        <f t="shared" si="227"/>
        <v>104</v>
      </c>
      <c r="I553" s="81">
        <f t="shared" si="227"/>
        <v>9.5</v>
      </c>
      <c r="J553" s="27">
        <f t="shared" si="227"/>
        <v>253</v>
      </c>
      <c r="K553" s="81">
        <f t="shared" si="227"/>
        <v>119</v>
      </c>
      <c r="L553" s="109">
        <f t="shared" si="227"/>
        <v>9.5</v>
      </c>
      <c r="M553" s="26">
        <f t="shared" si="227"/>
        <v>214</v>
      </c>
      <c r="N553" s="64">
        <f t="shared" si="227"/>
        <v>110</v>
      </c>
      <c r="O553" s="81">
        <f t="shared" si="227"/>
        <v>9.5</v>
      </c>
      <c r="P553" s="26">
        <f t="shared" si="227"/>
        <v>213</v>
      </c>
      <c r="Q553" s="64">
        <f t="shared" si="227"/>
        <v>104</v>
      </c>
      <c r="R553" s="81">
        <f t="shared" si="227"/>
        <v>8.5</v>
      </c>
      <c r="S553" s="42">
        <f t="shared" si="221"/>
        <v>893</v>
      </c>
      <c r="T553" s="95">
        <f t="shared" si="222"/>
        <v>437</v>
      </c>
      <c r="U553" s="25">
        <f t="shared" ref="U553:W553" si="228">SUM(U548:U552)</f>
        <v>85</v>
      </c>
      <c r="V553" s="84">
        <f t="shared" si="228"/>
        <v>42</v>
      </c>
      <c r="W553" s="85">
        <f t="shared" si="228"/>
        <v>37</v>
      </c>
    </row>
    <row r="554" spans="1:23" ht="30" customHeight="1" x14ac:dyDescent="0.25">
      <c r="A554" s="155" t="s">
        <v>222</v>
      </c>
      <c r="B554" s="39">
        <v>82</v>
      </c>
      <c r="C554" s="11" t="s">
        <v>58</v>
      </c>
      <c r="D554" s="113" t="s">
        <v>193</v>
      </c>
      <c r="E554" s="11" t="s">
        <v>19</v>
      </c>
      <c r="F554" s="145" t="s">
        <v>105</v>
      </c>
      <c r="G554" s="146">
        <v>86</v>
      </c>
      <c r="H554" s="145">
        <v>48</v>
      </c>
      <c r="I554" s="44">
        <v>4</v>
      </c>
      <c r="J554" s="294">
        <v>81</v>
      </c>
      <c r="K554" s="44">
        <v>38</v>
      </c>
      <c r="L554" s="155">
        <v>3</v>
      </c>
      <c r="M554" s="146">
        <v>100</v>
      </c>
      <c r="N554" s="145">
        <v>53</v>
      </c>
      <c r="O554" s="155">
        <v>4</v>
      </c>
      <c r="P554" s="146">
        <v>93</v>
      </c>
      <c r="Q554" s="145">
        <v>51</v>
      </c>
      <c r="R554" s="155">
        <v>4</v>
      </c>
      <c r="S554" s="98">
        <f t="shared" si="221"/>
        <v>360</v>
      </c>
      <c r="T554" s="78">
        <f t="shared" si="222"/>
        <v>190</v>
      </c>
      <c r="U554" s="79">
        <v>46</v>
      </c>
      <c r="V554" s="22">
        <v>21</v>
      </c>
      <c r="W554" s="80">
        <f>I554+L554+O554+R554</f>
        <v>15</v>
      </c>
    </row>
    <row r="555" spans="1:23" ht="46.5" customHeight="1" x14ac:dyDescent="0.25">
      <c r="A555" s="155" t="s">
        <v>222</v>
      </c>
      <c r="B555" s="164">
        <v>86</v>
      </c>
      <c r="C555" s="11" t="s">
        <v>49</v>
      </c>
      <c r="D555" s="285" t="s">
        <v>194</v>
      </c>
      <c r="E555" s="52" t="s">
        <v>219</v>
      </c>
      <c r="F555" s="153" t="s">
        <v>105</v>
      </c>
      <c r="G555" s="151">
        <v>51</v>
      </c>
      <c r="H555" s="153">
        <v>18</v>
      </c>
      <c r="I555" s="147">
        <v>2</v>
      </c>
      <c r="J555" s="286">
        <f>42+4</f>
        <v>46</v>
      </c>
      <c r="K555" s="147">
        <f>19+1</f>
        <v>20</v>
      </c>
      <c r="L555" s="147">
        <v>2</v>
      </c>
      <c r="M555" s="151">
        <v>54</v>
      </c>
      <c r="N555" s="153">
        <v>26</v>
      </c>
      <c r="O555" s="147">
        <v>2</v>
      </c>
      <c r="P555" s="151">
        <v>26</v>
      </c>
      <c r="Q555" s="153">
        <v>18</v>
      </c>
      <c r="R555" s="147">
        <v>1</v>
      </c>
      <c r="S555" s="98">
        <f t="shared" si="221"/>
        <v>177</v>
      </c>
      <c r="T555" s="78">
        <f t="shared" si="222"/>
        <v>82</v>
      </c>
      <c r="U555" s="101">
        <v>26</v>
      </c>
      <c r="V555" s="53">
        <v>10</v>
      </c>
      <c r="W555" s="80">
        <f>I555+L555+O555+R555</f>
        <v>7</v>
      </c>
    </row>
    <row r="556" spans="1:23" ht="30" customHeight="1" x14ac:dyDescent="0.25">
      <c r="A556" s="10" t="s">
        <v>222</v>
      </c>
      <c r="B556" s="47">
        <v>86</v>
      </c>
      <c r="C556" s="48" t="s">
        <v>49</v>
      </c>
      <c r="D556" s="113" t="s">
        <v>195</v>
      </c>
      <c r="E556" s="11" t="s">
        <v>37</v>
      </c>
      <c r="F556" s="145" t="s">
        <v>107</v>
      </c>
      <c r="G556" s="146">
        <v>51</v>
      </c>
      <c r="H556" s="145">
        <v>22</v>
      </c>
      <c r="I556" s="10">
        <v>2</v>
      </c>
      <c r="J556" s="92">
        <v>59</v>
      </c>
      <c r="K556" s="10">
        <v>26</v>
      </c>
      <c r="L556" s="10">
        <v>2</v>
      </c>
      <c r="M556" s="8">
        <v>56</v>
      </c>
      <c r="N556" s="9">
        <v>31</v>
      </c>
      <c r="O556" s="10">
        <v>3</v>
      </c>
      <c r="P556" s="8">
        <v>51</v>
      </c>
      <c r="Q556" s="9">
        <v>23</v>
      </c>
      <c r="R556" s="10">
        <v>3</v>
      </c>
      <c r="S556" s="91">
        <f t="shared" si="221"/>
        <v>217</v>
      </c>
      <c r="T556" s="17">
        <f t="shared" si="222"/>
        <v>102</v>
      </c>
      <c r="U556" s="12">
        <v>59</v>
      </c>
      <c r="V556" s="16">
        <v>24</v>
      </c>
      <c r="W556" s="93">
        <f>I556+L556+O556+R556</f>
        <v>10</v>
      </c>
    </row>
    <row r="557" spans="1:23" ht="30" customHeight="1" x14ac:dyDescent="0.25">
      <c r="A557" s="55" t="s">
        <v>222</v>
      </c>
      <c r="B557" s="160">
        <v>87</v>
      </c>
      <c r="C557" s="11" t="s">
        <v>68</v>
      </c>
      <c r="D557" s="285" t="s">
        <v>196</v>
      </c>
      <c r="E557" s="52" t="s">
        <v>132</v>
      </c>
      <c r="F557" s="153" t="s">
        <v>105</v>
      </c>
      <c r="G557" s="151">
        <v>61</v>
      </c>
      <c r="H557" s="153">
        <v>35</v>
      </c>
      <c r="I557" s="147">
        <v>3</v>
      </c>
      <c r="J557" s="286">
        <v>112</v>
      </c>
      <c r="K557" s="147">
        <v>53</v>
      </c>
      <c r="L557" s="147">
        <v>4</v>
      </c>
      <c r="M557" s="151">
        <v>111</v>
      </c>
      <c r="N557" s="153">
        <v>54</v>
      </c>
      <c r="O557" s="147">
        <v>4</v>
      </c>
      <c r="P557" s="151">
        <v>101</v>
      </c>
      <c r="Q557" s="153">
        <v>55</v>
      </c>
      <c r="R557" s="147">
        <v>4</v>
      </c>
      <c r="S557" s="98">
        <f t="shared" si="221"/>
        <v>385</v>
      </c>
      <c r="T557" s="78">
        <f t="shared" si="222"/>
        <v>197</v>
      </c>
      <c r="U557" s="101">
        <v>44</v>
      </c>
      <c r="V557" s="53">
        <v>24</v>
      </c>
      <c r="W557" s="80">
        <f>I557+L557+O557+R557</f>
        <v>15</v>
      </c>
    </row>
    <row r="558" spans="1:23" ht="30" customHeight="1" x14ac:dyDescent="0.25">
      <c r="A558" s="55" t="s">
        <v>222</v>
      </c>
      <c r="B558" s="47">
        <v>87</v>
      </c>
      <c r="C558" s="48" t="s">
        <v>68</v>
      </c>
      <c r="D558" s="113" t="s">
        <v>225</v>
      </c>
      <c r="E558" s="54" t="s">
        <v>223</v>
      </c>
      <c r="F558" s="145" t="s">
        <v>107</v>
      </c>
      <c r="G558" s="79">
        <v>57</v>
      </c>
      <c r="H558" s="22">
        <v>22</v>
      </c>
      <c r="I558" s="22">
        <v>2</v>
      </c>
      <c r="J558" s="345"/>
      <c r="K558" s="346"/>
      <c r="L558" s="346"/>
      <c r="M558" s="346"/>
      <c r="N558" s="346"/>
      <c r="O558" s="346"/>
      <c r="P558" s="346"/>
      <c r="Q558" s="346"/>
      <c r="R558" s="347"/>
      <c r="S558" s="98">
        <f t="shared" si="221"/>
        <v>57</v>
      </c>
      <c r="T558" s="78">
        <f t="shared" si="222"/>
        <v>22</v>
      </c>
      <c r="U558" s="12">
        <v>2</v>
      </c>
      <c r="V558" s="16">
        <v>2</v>
      </c>
      <c r="W558" s="80">
        <f>I558+L558+O558+R558</f>
        <v>2</v>
      </c>
    </row>
    <row r="559" spans="1:23" ht="30" customHeight="1" thickBot="1" x14ac:dyDescent="0.3">
      <c r="A559" s="36" t="s">
        <v>222</v>
      </c>
      <c r="B559" s="314" t="s">
        <v>99</v>
      </c>
      <c r="C559" s="303"/>
      <c r="D559" s="303"/>
      <c r="E559" s="315"/>
      <c r="F559" s="311"/>
      <c r="G559" s="332">
        <f>SUM(G554:G558)</f>
        <v>306</v>
      </c>
      <c r="H559" s="330">
        <f>SUM(H554:H558)</f>
        <v>145</v>
      </c>
      <c r="I559" s="148">
        <f>SUM(I554:I558)</f>
        <v>13</v>
      </c>
      <c r="J559" s="333">
        <f t="shared" ref="J559:R559" si="229">SUM(J554:J557)</f>
        <v>298</v>
      </c>
      <c r="K559" s="148">
        <f t="shared" si="229"/>
        <v>137</v>
      </c>
      <c r="L559" s="334">
        <f t="shared" si="229"/>
        <v>11</v>
      </c>
      <c r="M559" s="161">
        <f t="shared" si="229"/>
        <v>321</v>
      </c>
      <c r="N559" s="165">
        <f t="shared" si="229"/>
        <v>164</v>
      </c>
      <c r="O559" s="148">
        <f t="shared" si="229"/>
        <v>13</v>
      </c>
      <c r="P559" s="161">
        <f t="shared" si="229"/>
        <v>271</v>
      </c>
      <c r="Q559" s="165">
        <f t="shared" si="229"/>
        <v>147</v>
      </c>
      <c r="R559" s="148">
        <f t="shared" si="229"/>
        <v>12</v>
      </c>
      <c r="S559" s="42">
        <f t="shared" si="221"/>
        <v>1196</v>
      </c>
      <c r="T559" s="95">
        <f t="shared" si="222"/>
        <v>593</v>
      </c>
      <c r="U559" s="25">
        <f>SUM(U554:U558)</f>
        <v>177</v>
      </c>
      <c r="V559" s="84">
        <f>SUM(V554:V558)</f>
        <v>81</v>
      </c>
      <c r="W559" s="85">
        <f>SUM(W554:W558)</f>
        <v>49</v>
      </c>
    </row>
    <row r="560" spans="1:23" ht="30" customHeight="1" x14ac:dyDescent="0.25">
      <c r="A560" s="155" t="s">
        <v>222</v>
      </c>
      <c r="B560" s="164">
        <v>95</v>
      </c>
      <c r="C560" s="52" t="s">
        <v>62</v>
      </c>
      <c r="D560" s="285" t="s">
        <v>226</v>
      </c>
      <c r="E560" s="52" t="s">
        <v>22</v>
      </c>
      <c r="F560" s="153" t="s">
        <v>105</v>
      </c>
      <c r="G560" s="151">
        <v>58</v>
      </c>
      <c r="H560" s="153">
        <v>30</v>
      </c>
      <c r="I560" s="147">
        <v>2</v>
      </c>
      <c r="J560" s="286">
        <v>41</v>
      </c>
      <c r="K560" s="147">
        <v>25</v>
      </c>
      <c r="L560" s="147">
        <v>2</v>
      </c>
      <c r="M560" s="151">
        <v>50</v>
      </c>
      <c r="N560" s="153">
        <v>22</v>
      </c>
      <c r="O560" s="147">
        <v>2</v>
      </c>
      <c r="P560" s="151">
        <v>47</v>
      </c>
      <c r="Q560" s="153">
        <v>21</v>
      </c>
      <c r="R560" s="147">
        <v>2</v>
      </c>
      <c r="S560" s="98">
        <f t="shared" si="221"/>
        <v>196</v>
      </c>
      <c r="T560" s="78">
        <f t="shared" si="222"/>
        <v>98</v>
      </c>
      <c r="U560" s="101">
        <v>9</v>
      </c>
      <c r="V560" s="53">
        <v>5</v>
      </c>
      <c r="W560" s="80">
        <f>I560+L560+O560+R560</f>
        <v>8</v>
      </c>
    </row>
    <row r="561" spans="1:24" ht="30" customHeight="1" x14ac:dyDescent="0.25">
      <c r="A561" s="55" t="s">
        <v>222</v>
      </c>
      <c r="B561" s="39">
        <v>96</v>
      </c>
      <c r="C561" s="11" t="s">
        <v>51</v>
      </c>
      <c r="D561" s="113" t="s">
        <v>227</v>
      </c>
      <c r="E561" s="11" t="s">
        <v>213</v>
      </c>
      <c r="F561" s="145" t="s">
        <v>105</v>
      </c>
      <c r="G561" s="146">
        <v>30</v>
      </c>
      <c r="H561" s="145">
        <v>13</v>
      </c>
      <c r="I561" s="155">
        <v>1.5</v>
      </c>
      <c r="J561" s="154">
        <f>31+3</f>
        <v>34</v>
      </c>
      <c r="K561" s="155">
        <f>9+1</f>
        <v>10</v>
      </c>
      <c r="L561" s="155">
        <v>1.5</v>
      </c>
      <c r="M561" s="146">
        <v>17</v>
      </c>
      <c r="N561" s="145">
        <v>9</v>
      </c>
      <c r="O561" s="155">
        <v>1</v>
      </c>
      <c r="P561" s="146">
        <v>39</v>
      </c>
      <c r="Q561" s="145">
        <v>17</v>
      </c>
      <c r="R561" s="155">
        <v>2</v>
      </c>
      <c r="S561" s="98">
        <f t="shared" si="221"/>
        <v>120</v>
      </c>
      <c r="T561" s="78">
        <f t="shared" si="222"/>
        <v>49</v>
      </c>
      <c r="U561" s="79">
        <v>22</v>
      </c>
      <c r="V561" s="22">
        <v>10</v>
      </c>
      <c r="W561" s="80">
        <f>I561+L561+O561+R561</f>
        <v>6</v>
      </c>
    </row>
    <row r="562" spans="1:24" ht="30" customHeight="1" x14ac:dyDescent="0.25">
      <c r="A562" s="10" t="s">
        <v>222</v>
      </c>
      <c r="B562" s="47">
        <v>96</v>
      </c>
      <c r="C562" s="48" t="s">
        <v>51</v>
      </c>
      <c r="D562" s="113" t="s">
        <v>228</v>
      </c>
      <c r="E562" s="11" t="s">
        <v>42</v>
      </c>
      <c r="F562" s="153" t="s">
        <v>107</v>
      </c>
      <c r="G562" s="151">
        <v>53</v>
      </c>
      <c r="H562" s="153">
        <v>28</v>
      </c>
      <c r="I562" s="104">
        <v>2</v>
      </c>
      <c r="J562" s="287">
        <v>59</v>
      </c>
      <c r="K562" s="104">
        <v>34</v>
      </c>
      <c r="L562" s="104">
        <v>2</v>
      </c>
      <c r="M562" s="102">
        <v>62</v>
      </c>
      <c r="N562" s="103">
        <v>31</v>
      </c>
      <c r="O562" s="104">
        <v>3</v>
      </c>
      <c r="P562" s="102">
        <v>50</v>
      </c>
      <c r="Q562" s="103">
        <v>21</v>
      </c>
      <c r="R562" s="104">
        <v>2</v>
      </c>
      <c r="S562" s="91">
        <f t="shared" si="221"/>
        <v>224</v>
      </c>
      <c r="T562" s="17">
        <f t="shared" si="222"/>
        <v>114</v>
      </c>
      <c r="U562" s="105">
        <v>26</v>
      </c>
      <c r="V562" s="56">
        <v>14</v>
      </c>
      <c r="W562" s="93">
        <f>I562+L562+O562+R562</f>
        <v>9</v>
      </c>
    </row>
    <row r="563" spans="1:24" ht="30" customHeight="1" x14ac:dyDescent="0.25">
      <c r="A563" s="55" t="s">
        <v>222</v>
      </c>
      <c r="B563" s="39">
        <v>97</v>
      </c>
      <c r="C563" s="11" t="s">
        <v>61</v>
      </c>
      <c r="D563" s="113" t="s">
        <v>229</v>
      </c>
      <c r="E563" s="11" t="s">
        <v>138</v>
      </c>
      <c r="F563" s="145" t="s">
        <v>105</v>
      </c>
      <c r="G563" s="146">
        <v>98</v>
      </c>
      <c r="H563" s="145">
        <v>55</v>
      </c>
      <c r="I563" s="155">
        <v>4</v>
      </c>
      <c r="J563" s="154">
        <v>112</v>
      </c>
      <c r="K563" s="155">
        <v>51</v>
      </c>
      <c r="L563" s="155">
        <v>4</v>
      </c>
      <c r="M563" s="146">
        <v>100</v>
      </c>
      <c r="N563" s="145">
        <v>50</v>
      </c>
      <c r="O563" s="155">
        <v>4</v>
      </c>
      <c r="P563" s="146">
        <v>110</v>
      </c>
      <c r="Q563" s="145">
        <v>53</v>
      </c>
      <c r="R563" s="155">
        <v>4</v>
      </c>
      <c r="S563" s="98">
        <f t="shared" si="221"/>
        <v>420</v>
      </c>
      <c r="T563" s="78">
        <f t="shared" si="222"/>
        <v>209</v>
      </c>
      <c r="U563" s="79">
        <v>30</v>
      </c>
      <c r="V563" s="22">
        <v>16</v>
      </c>
      <c r="W563" s="80">
        <f>I563+L563+O563+R563</f>
        <v>16</v>
      </c>
    </row>
    <row r="564" spans="1:24" ht="30" customHeight="1" x14ac:dyDescent="0.25">
      <c r="A564" s="155" t="s">
        <v>222</v>
      </c>
      <c r="B564" s="39">
        <v>98</v>
      </c>
      <c r="C564" s="11" t="s">
        <v>52</v>
      </c>
      <c r="D564" s="113" t="s">
        <v>230</v>
      </c>
      <c r="E564" s="11" t="s">
        <v>14</v>
      </c>
      <c r="F564" s="145" t="s">
        <v>105</v>
      </c>
      <c r="G564" s="146">
        <v>46</v>
      </c>
      <c r="H564" s="145">
        <v>28</v>
      </c>
      <c r="I564" s="155">
        <v>2</v>
      </c>
      <c r="J564" s="154">
        <v>71</v>
      </c>
      <c r="K564" s="155">
        <v>32</v>
      </c>
      <c r="L564" s="155">
        <v>3</v>
      </c>
      <c r="M564" s="146">
        <v>68</v>
      </c>
      <c r="N564" s="152">
        <v>39</v>
      </c>
      <c r="O564" s="149">
        <v>3</v>
      </c>
      <c r="P564" s="146">
        <v>61</v>
      </c>
      <c r="Q564" s="145">
        <v>36</v>
      </c>
      <c r="R564" s="155">
        <v>3</v>
      </c>
      <c r="S564" s="98">
        <f t="shared" si="221"/>
        <v>246</v>
      </c>
      <c r="T564" s="78">
        <f t="shared" si="222"/>
        <v>135</v>
      </c>
      <c r="U564" s="79">
        <v>16</v>
      </c>
      <c r="V564" s="22">
        <v>6</v>
      </c>
      <c r="W564" s="80">
        <f>I564+L564+O564+R564</f>
        <v>11</v>
      </c>
    </row>
    <row r="565" spans="1:24" ht="30" customHeight="1" x14ac:dyDescent="0.25">
      <c r="A565" s="156" t="s">
        <v>222</v>
      </c>
      <c r="B565" s="39">
        <v>98</v>
      </c>
      <c r="C565" s="57" t="s">
        <v>52</v>
      </c>
      <c r="D565" s="288" t="s">
        <v>231</v>
      </c>
      <c r="E565" s="11" t="s">
        <v>16</v>
      </c>
      <c r="F565" s="145" t="s">
        <v>105</v>
      </c>
      <c r="G565" s="146">
        <v>29</v>
      </c>
      <c r="H565" s="145">
        <v>18</v>
      </c>
      <c r="I565" s="155">
        <v>1</v>
      </c>
      <c r="J565" s="154">
        <v>26</v>
      </c>
      <c r="K565" s="155">
        <v>10</v>
      </c>
      <c r="L565" s="155">
        <v>1</v>
      </c>
      <c r="M565" s="146">
        <v>19</v>
      </c>
      <c r="N565" s="145">
        <v>7</v>
      </c>
      <c r="O565" s="155">
        <v>1</v>
      </c>
      <c r="P565" s="146">
        <v>20</v>
      </c>
      <c r="Q565" s="145">
        <v>11</v>
      </c>
      <c r="R565" s="155">
        <v>1</v>
      </c>
      <c r="S565" s="98">
        <f t="shared" si="221"/>
        <v>94</v>
      </c>
      <c r="T565" s="78">
        <f t="shared" si="222"/>
        <v>46</v>
      </c>
      <c r="U565" s="79">
        <v>0</v>
      </c>
      <c r="V565" s="22">
        <v>0</v>
      </c>
      <c r="W565" s="80">
        <f>I565+L565+O565+R565</f>
        <v>4</v>
      </c>
    </row>
    <row r="566" spans="1:24" ht="30" customHeight="1" thickBot="1" x14ac:dyDescent="0.3">
      <c r="A566" s="149" t="s">
        <v>222</v>
      </c>
      <c r="B566" s="314" t="s">
        <v>100</v>
      </c>
      <c r="C566" s="303"/>
      <c r="D566" s="303"/>
      <c r="E566" s="315"/>
      <c r="F566" s="311"/>
      <c r="G566" s="312">
        <f t="shared" ref="G566:R566" si="230">SUM(G560:G565)</f>
        <v>314</v>
      </c>
      <c r="H566" s="308">
        <f t="shared" si="230"/>
        <v>172</v>
      </c>
      <c r="I566" s="149">
        <f t="shared" si="230"/>
        <v>12.5</v>
      </c>
      <c r="J566" s="63">
        <f t="shared" si="230"/>
        <v>343</v>
      </c>
      <c r="K566" s="149">
        <f t="shared" si="230"/>
        <v>162</v>
      </c>
      <c r="L566" s="326">
        <f t="shared" si="230"/>
        <v>13.5</v>
      </c>
      <c r="M566" s="26">
        <f t="shared" si="230"/>
        <v>316</v>
      </c>
      <c r="N566" s="64">
        <f t="shared" si="230"/>
        <v>158</v>
      </c>
      <c r="O566" s="81">
        <f t="shared" si="230"/>
        <v>14</v>
      </c>
      <c r="P566" s="26">
        <f t="shared" si="230"/>
        <v>327</v>
      </c>
      <c r="Q566" s="64">
        <f t="shared" si="230"/>
        <v>159</v>
      </c>
      <c r="R566" s="81">
        <f t="shared" si="230"/>
        <v>14</v>
      </c>
      <c r="S566" s="42">
        <f t="shared" si="221"/>
        <v>1300</v>
      </c>
      <c r="T566" s="95">
        <f t="shared" si="222"/>
        <v>651</v>
      </c>
      <c r="U566" s="42">
        <f>SUM(U560:U565)</f>
        <v>103</v>
      </c>
      <c r="V566" s="42">
        <f>SUM(V560:V565)</f>
        <v>51</v>
      </c>
      <c r="W566" s="85">
        <f>SUM(W560:W565)</f>
        <v>54</v>
      </c>
    </row>
    <row r="567" spans="1:24" s="111" customFormat="1" ht="30" customHeight="1" x14ac:dyDescent="0.25">
      <c r="A567" s="159" t="s">
        <v>222</v>
      </c>
      <c r="B567" s="354" t="s">
        <v>102</v>
      </c>
      <c r="C567" s="355"/>
      <c r="D567" s="355"/>
      <c r="E567" s="355"/>
      <c r="F567" s="356"/>
      <c r="G567" s="335">
        <f t="shared" ref="G567:R567" si="231">G514+G520+G525+G530+G540+G547+G553+G559+G566</f>
        <v>2437</v>
      </c>
      <c r="H567" s="335">
        <f t="shared" si="231"/>
        <v>1199</v>
      </c>
      <c r="I567" s="336">
        <f t="shared" si="231"/>
        <v>106.25</v>
      </c>
      <c r="J567" s="337">
        <f t="shared" si="231"/>
        <v>2687</v>
      </c>
      <c r="K567" s="337">
        <f t="shared" si="231"/>
        <v>1317</v>
      </c>
      <c r="L567" s="338">
        <f t="shared" si="231"/>
        <v>103.25</v>
      </c>
      <c r="M567" s="335">
        <f t="shared" si="231"/>
        <v>2484</v>
      </c>
      <c r="N567" s="335">
        <f t="shared" si="231"/>
        <v>1206</v>
      </c>
      <c r="O567" s="339">
        <f t="shared" si="231"/>
        <v>106.25</v>
      </c>
      <c r="P567" s="335">
        <f t="shared" si="231"/>
        <v>2384</v>
      </c>
      <c r="Q567" s="335">
        <f t="shared" si="231"/>
        <v>1210</v>
      </c>
      <c r="R567" s="339">
        <f t="shared" si="231"/>
        <v>102.25</v>
      </c>
      <c r="S567" s="340">
        <f t="shared" si="221"/>
        <v>9992</v>
      </c>
      <c r="T567" s="335">
        <f t="shared" si="222"/>
        <v>4932</v>
      </c>
      <c r="U567" s="335">
        <f t="shared" ref="U567:W567" si="232">U514+U520+U525+U530+U540+U547+U553+U559+U566</f>
        <v>1338</v>
      </c>
      <c r="V567" s="340">
        <f t="shared" si="232"/>
        <v>644</v>
      </c>
      <c r="W567" s="341">
        <f t="shared" si="232"/>
        <v>418</v>
      </c>
      <c r="X567" s="115"/>
    </row>
    <row r="568" spans="1:24" ht="35.4" x14ac:dyDescent="0.25">
      <c r="A568" s="145" t="s">
        <v>232</v>
      </c>
      <c r="B568" s="145">
        <v>11</v>
      </c>
      <c r="C568" s="11" t="s">
        <v>48</v>
      </c>
      <c r="D568" s="113" t="s">
        <v>159</v>
      </c>
      <c r="E568" s="11" t="s">
        <v>234</v>
      </c>
      <c r="F568" s="145" t="s">
        <v>105</v>
      </c>
      <c r="G568" s="79">
        <f>4+28</f>
        <v>32</v>
      </c>
      <c r="H568" s="145">
        <f>1+14</f>
        <v>15</v>
      </c>
      <c r="I568" s="145">
        <v>1.25</v>
      </c>
      <c r="J568" s="146">
        <f>4+27</f>
        <v>31</v>
      </c>
      <c r="K568" s="145">
        <f>2+13</f>
        <v>15</v>
      </c>
      <c r="L568" s="145">
        <v>1.25</v>
      </c>
      <c r="M568" s="146">
        <f>18+4</f>
        <v>22</v>
      </c>
      <c r="N568" s="145">
        <f>2+11</f>
        <v>13</v>
      </c>
      <c r="O568" s="145">
        <v>1.25</v>
      </c>
      <c r="P568" s="146">
        <f>28+7</f>
        <v>35</v>
      </c>
      <c r="Q568" s="145">
        <f>14+2</f>
        <v>16</v>
      </c>
      <c r="R568" s="145">
        <v>1.25</v>
      </c>
      <c r="S568" s="98">
        <f t="shared" si="221"/>
        <v>120</v>
      </c>
      <c r="T568" s="78">
        <f t="shared" si="222"/>
        <v>59</v>
      </c>
      <c r="U568" s="79">
        <v>3</v>
      </c>
      <c r="V568" s="22">
        <v>2</v>
      </c>
      <c r="W568" s="98">
        <f>I568+L568+O568+R568</f>
        <v>5</v>
      </c>
    </row>
    <row r="569" spans="1:24" ht="30" customHeight="1" x14ac:dyDescent="0.25">
      <c r="A569" s="145" t="s">
        <v>232</v>
      </c>
      <c r="B569" s="145">
        <v>15</v>
      </c>
      <c r="C569" s="11" t="s">
        <v>64</v>
      </c>
      <c r="D569" s="113" t="s">
        <v>160</v>
      </c>
      <c r="E569" s="11" t="s">
        <v>24</v>
      </c>
      <c r="F569" s="145" t="s">
        <v>105</v>
      </c>
      <c r="G569" s="79">
        <v>41</v>
      </c>
      <c r="H569" s="22">
        <v>15</v>
      </c>
      <c r="I569" s="145">
        <v>2</v>
      </c>
      <c r="J569" s="146">
        <v>46</v>
      </c>
      <c r="K569" s="145">
        <v>19</v>
      </c>
      <c r="L569" s="145">
        <v>2</v>
      </c>
      <c r="M569" s="146">
        <v>28</v>
      </c>
      <c r="N569" s="145">
        <v>18</v>
      </c>
      <c r="O569" s="145">
        <v>1</v>
      </c>
      <c r="P569" s="146">
        <v>53</v>
      </c>
      <c r="Q569" s="145">
        <v>21</v>
      </c>
      <c r="R569" s="145">
        <v>2</v>
      </c>
      <c r="S569" s="98">
        <f t="shared" si="221"/>
        <v>168</v>
      </c>
      <c r="T569" s="78">
        <f t="shared" si="222"/>
        <v>73</v>
      </c>
      <c r="U569" s="79">
        <v>17</v>
      </c>
      <c r="V569" s="22">
        <v>5</v>
      </c>
      <c r="W569" s="98">
        <f>I569+L569+O569+R569</f>
        <v>7</v>
      </c>
    </row>
    <row r="570" spans="1:24" s="111" customFormat="1" ht="30" customHeight="1" x14ac:dyDescent="0.25">
      <c r="A570" s="146" t="s">
        <v>232</v>
      </c>
      <c r="B570" s="144" t="s">
        <v>92</v>
      </c>
      <c r="C570" s="126"/>
      <c r="D570" s="127"/>
      <c r="E570" s="131"/>
      <c r="F570" s="130"/>
      <c r="G570" s="12">
        <f t="shared" ref="G570:I570" si="233">G568+G569</f>
        <v>73</v>
      </c>
      <c r="H570" s="91">
        <f t="shared" si="233"/>
        <v>30</v>
      </c>
      <c r="I570" s="146">
        <f t="shared" si="233"/>
        <v>3.25</v>
      </c>
      <c r="J570" s="146">
        <f>SUM(J568:J569)</f>
        <v>77</v>
      </c>
      <c r="K570" s="146">
        <f t="shared" ref="K570:W570" si="234">SUM(K568:K569)</f>
        <v>34</v>
      </c>
      <c r="L570" s="146">
        <f t="shared" si="234"/>
        <v>3.25</v>
      </c>
      <c r="M570" s="146">
        <f t="shared" si="234"/>
        <v>50</v>
      </c>
      <c r="N570" s="146">
        <f t="shared" si="234"/>
        <v>31</v>
      </c>
      <c r="O570" s="146">
        <f t="shared" si="234"/>
        <v>2.25</v>
      </c>
      <c r="P570" s="146">
        <f t="shared" si="234"/>
        <v>88</v>
      </c>
      <c r="Q570" s="146">
        <f t="shared" si="234"/>
        <v>37</v>
      </c>
      <c r="R570" s="146">
        <f t="shared" si="234"/>
        <v>3.25</v>
      </c>
      <c r="S570" s="98">
        <f t="shared" si="234"/>
        <v>288</v>
      </c>
      <c r="T570" s="98">
        <f t="shared" si="234"/>
        <v>132</v>
      </c>
      <c r="U570" s="98">
        <f t="shared" si="234"/>
        <v>20</v>
      </c>
      <c r="V570" s="98">
        <f t="shared" si="234"/>
        <v>7</v>
      </c>
      <c r="W570" s="98">
        <f t="shared" si="234"/>
        <v>12</v>
      </c>
      <c r="X570" s="115"/>
    </row>
    <row r="571" spans="1:24" ht="30" customHeight="1" x14ac:dyDescent="0.25">
      <c r="A571" s="17" t="s">
        <v>232</v>
      </c>
      <c r="B571" s="17">
        <v>22</v>
      </c>
      <c r="C571" s="48" t="s">
        <v>75</v>
      </c>
      <c r="D571" s="113" t="s">
        <v>166</v>
      </c>
      <c r="E571" s="48" t="s">
        <v>32</v>
      </c>
      <c r="F571" s="17" t="s">
        <v>106</v>
      </c>
      <c r="G571" s="91">
        <v>42</v>
      </c>
      <c r="H571" s="17">
        <v>24</v>
      </c>
      <c r="I571" s="17">
        <v>2</v>
      </c>
      <c r="J571" s="91">
        <v>50</v>
      </c>
      <c r="K571" s="17">
        <v>24</v>
      </c>
      <c r="L571" s="17">
        <v>2</v>
      </c>
      <c r="M571" s="91">
        <v>50</v>
      </c>
      <c r="N571" s="17">
        <v>24</v>
      </c>
      <c r="O571" s="17">
        <v>2</v>
      </c>
      <c r="P571" s="91">
        <v>50</v>
      </c>
      <c r="Q571" s="17">
        <v>26</v>
      </c>
      <c r="R571" s="17">
        <v>2</v>
      </c>
      <c r="S571" s="91">
        <f t="shared" ref="S571:S575" si="235">G571+J571+M571+P571</f>
        <v>192</v>
      </c>
      <c r="T571" s="17">
        <f t="shared" ref="T571:T575" si="236">H571+K571+N571+Q571</f>
        <v>98</v>
      </c>
      <c r="U571" s="12">
        <v>22</v>
      </c>
      <c r="V571" s="16">
        <v>12</v>
      </c>
      <c r="W571" s="91">
        <f>I571+L571+O571+R571</f>
        <v>8</v>
      </c>
    </row>
    <row r="572" spans="1:24" ht="30" customHeight="1" x14ac:dyDescent="0.25">
      <c r="A572" s="145" t="s">
        <v>232</v>
      </c>
      <c r="B572" s="145">
        <v>24</v>
      </c>
      <c r="C572" s="11" t="s">
        <v>70</v>
      </c>
      <c r="D572" s="113" t="s">
        <v>165</v>
      </c>
      <c r="E572" s="11" t="s">
        <v>156</v>
      </c>
      <c r="F572" s="145" t="s">
        <v>105</v>
      </c>
      <c r="G572" s="146">
        <f>27</f>
        <v>27</v>
      </c>
      <c r="H572" s="145">
        <f>16</f>
        <v>16</v>
      </c>
      <c r="I572" s="145">
        <v>2</v>
      </c>
      <c r="J572" s="146">
        <v>48</v>
      </c>
      <c r="K572" s="145">
        <v>25</v>
      </c>
      <c r="L572" s="145">
        <v>2</v>
      </c>
      <c r="M572" s="146">
        <v>36</v>
      </c>
      <c r="N572" s="145">
        <v>18</v>
      </c>
      <c r="O572" s="145">
        <v>1.5</v>
      </c>
      <c r="P572" s="146">
        <v>29</v>
      </c>
      <c r="Q572" s="145">
        <v>18</v>
      </c>
      <c r="R572" s="145">
        <v>1.5</v>
      </c>
      <c r="S572" s="98">
        <f t="shared" si="235"/>
        <v>140</v>
      </c>
      <c r="T572" s="78">
        <f t="shared" si="236"/>
        <v>77</v>
      </c>
      <c r="U572" s="79">
        <v>26</v>
      </c>
      <c r="V572" s="22">
        <v>16</v>
      </c>
      <c r="W572" s="98">
        <f>I572+L572+O572+R572</f>
        <v>7</v>
      </c>
    </row>
    <row r="573" spans="1:24" ht="30" customHeight="1" x14ac:dyDescent="0.25">
      <c r="A573" s="17" t="s">
        <v>232</v>
      </c>
      <c r="B573" s="17">
        <v>25</v>
      </c>
      <c r="C573" s="48" t="s">
        <v>74</v>
      </c>
      <c r="D573" s="113" t="s">
        <v>167</v>
      </c>
      <c r="E573" s="11" t="s">
        <v>130</v>
      </c>
      <c r="F573" s="17" t="s">
        <v>106</v>
      </c>
      <c r="G573" s="91">
        <v>50</v>
      </c>
      <c r="H573" s="17">
        <v>23</v>
      </c>
      <c r="I573" s="17">
        <v>2</v>
      </c>
      <c r="J573" s="91">
        <v>57</v>
      </c>
      <c r="K573" s="17">
        <v>23</v>
      </c>
      <c r="L573" s="17">
        <v>2</v>
      </c>
      <c r="M573" s="91">
        <v>51</v>
      </c>
      <c r="N573" s="17">
        <v>28</v>
      </c>
      <c r="O573" s="17">
        <v>2</v>
      </c>
      <c r="P573" s="91">
        <v>51</v>
      </c>
      <c r="Q573" s="17">
        <v>25</v>
      </c>
      <c r="R573" s="17">
        <v>2</v>
      </c>
      <c r="S573" s="91">
        <f t="shared" si="235"/>
        <v>209</v>
      </c>
      <c r="T573" s="17">
        <f t="shared" si="236"/>
        <v>99</v>
      </c>
      <c r="U573" s="12">
        <v>6</v>
      </c>
      <c r="V573" s="16">
        <v>3</v>
      </c>
      <c r="W573" s="91">
        <f>I573+L573+O573+R573</f>
        <v>8</v>
      </c>
    </row>
    <row r="574" spans="1:24" ht="30" customHeight="1" x14ac:dyDescent="0.25">
      <c r="A574" s="145" t="s">
        <v>232</v>
      </c>
      <c r="B574" s="145">
        <v>27</v>
      </c>
      <c r="C574" s="11" t="s">
        <v>60</v>
      </c>
      <c r="D574" s="113" t="s">
        <v>168</v>
      </c>
      <c r="E574" s="11" t="s">
        <v>21</v>
      </c>
      <c r="F574" s="145" t="s">
        <v>105</v>
      </c>
      <c r="G574" s="146">
        <v>31</v>
      </c>
      <c r="H574" s="145">
        <v>19</v>
      </c>
      <c r="I574" s="145">
        <v>2</v>
      </c>
      <c r="J574" s="146">
        <v>46</v>
      </c>
      <c r="K574" s="145">
        <v>18</v>
      </c>
      <c r="L574" s="145">
        <v>2</v>
      </c>
      <c r="M574" s="146">
        <v>51</v>
      </c>
      <c r="N574" s="145">
        <v>28</v>
      </c>
      <c r="O574" s="145">
        <v>2</v>
      </c>
      <c r="P574" s="146">
        <v>53</v>
      </c>
      <c r="Q574" s="145">
        <v>31</v>
      </c>
      <c r="R574" s="145">
        <v>2</v>
      </c>
      <c r="S574" s="98">
        <f t="shared" si="235"/>
        <v>181</v>
      </c>
      <c r="T574" s="78">
        <f t="shared" si="236"/>
        <v>96</v>
      </c>
      <c r="U574" s="79">
        <v>21</v>
      </c>
      <c r="V574" s="22">
        <v>15</v>
      </c>
      <c r="W574" s="98">
        <f>I574+L574+O574+R574</f>
        <v>8</v>
      </c>
    </row>
    <row r="575" spans="1:24" ht="30" customHeight="1" x14ac:dyDescent="0.25">
      <c r="A575" s="17" t="s">
        <v>232</v>
      </c>
      <c r="B575" s="17">
        <v>27</v>
      </c>
      <c r="C575" s="48" t="s">
        <v>60</v>
      </c>
      <c r="D575" s="113" t="s">
        <v>169</v>
      </c>
      <c r="E575" s="48" t="s">
        <v>33</v>
      </c>
      <c r="F575" s="17" t="s">
        <v>106</v>
      </c>
      <c r="G575" s="91">
        <v>55</v>
      </c>
      <c r="H575" s="17">
        <v>19</v>
      </c>
      <c r="I575" s="17">
        <v>2</v>
      </c>
      <c r="J575" s="91">
        <v>53</v>
      </c>
      <c r="K575" s="17">
        <v>34</v>
      </c>
      <c r="L575" s="17">
        <v>2</v>
      </c>
      <c r="M575" s="91">
        <v>42</v>
      </c>
      <c r="N575" s="17">
        <v>28</v>
      </c>
      <c r="O575" s="17">
        <v>2</v>
      </c>
      <c r="P575" s="91">
        <v>28</v>
      </c>
      <c r="Q575" s="17">
        <v>10</v>
      </c>
      <c r="R575" s="17">
        <v>1</v>
      </c>
      <c r="S575" s="91">
        <f t="shared" si="235"/>
        <v>178</v>
      </c>
      <c r="T575" s="17">
        <f t="shared" si="236"/>
        <v>91</v>
      </c>
      <c r="U575" s="12">
        <v>13</v>
      </c>
      <c r="V575" s="16">
        <v>6</v>
      </c>
      <c r="W575" s="91">
        <f>I575+L575+O575+R575</f>
        <v>7</v>
      </c>
    </row>
    <row r="576" spans="1:24" s="111" customFormat="1" ht="30" customHeight="1" x14ac:dyDescent="0.25">
      <c r="A576" s="146" t="s">
        <v>232</v>
      </c>
      <c r="B576" s="144" t="s">
        <v>101</v>
      </c>
      <c r="C576" s="126"/>
      <c r="D576" s="126"/>
      <c r="E576" s="133"/>
      <c r="F576" s="132"/>
      <c r="G576" s="91">
        <f t="shared" ref="G576:W576" si="237">SUM(G571:G575)</f>
        <v>205</v>
      </c>
      <c r="H576" s="91">
        <f t="shared" si="237"/>
        <v>101</v>
      </c>
      <c r="I576" s="146">
        <f t="shared" si="237"/>
        <v>10</v>
      </c>
      <c r="J576" s="146">
        <f t="shared" si="237"/>
        <v>254</v>
      </c>
      <c r="K576" s="146">
        <f t="shared" si="237"/>
        <v>124</v>
      </c>
      <c r="L576" s="146">
        <f t="shared" si="237"/>
        <v>10</v>
      </c>
      <c r="M576" s="146">
        <f t="shared" si="237"/>
        <v>230</v>
      </c>
      <c r="N576" s="146">
        <f t="shared" si="237"/>
        <v>126</v>
      </c>
      <c r="O576" s="146">
        <f t="shared" si="237"/>
        <v>9.5</v>
      </c>
      <c r="P576" s="146">
        <f t="shared" si="237"/>
        <v>211</v>
      </c>
      <c r="Q576" s="146">
        <f t="shared" si="237"/>
        <v>110</v>
      </c>
      <c r="R576" s="146">
        <f t="shared" si="237"/>
        <v>8.5</v>
      </c>
      <c r="S576" s="98">
        <f t="shared" si="237"/>
        <v>900</v>
      </c>
      <c r="T576" s="98">
        <f t="shared" si="237"/>
        <v>461</v>
      </c>
      <c r="U576" s="79">
        <f t="shared" si="237"/>
        <v>88</v>
      </c>
      <c r="V576" s="79">
        <f t="shared" si="237"/>
        <v>52</v>
      </c>
      <c r="W576" s="98">
        <f t="shared" si="237"/>
        <v>38</v>
      </c>
      <c r="X576" s="115"/>
    </row>
    <row r="577" spans="1:24" ht="30" customHeight="1" x14ac:dyDescent="0.25">
      <c r="A577" s="17" t="s">
        <v>232</v>
      </c>
      <c r="B577" s="17">
        <v>31</v>
      </c>
      <c r="C577" s="48" t="s">
        <v>79</v>
      </c>
      <c r="D577" s="113" t="s">
        <v>163</v>
      </c>
      <c r="E577" s="11" t="s">
        <v>36</v>
      </c>
      <c r="F577" s="145" t="s">
        <v>107</v>
      </c>
      <c r="G577" s="146">
        <v>44</v>
      </c>
      <c r="H577" s="145">
        <v>22</v>
      </c>
      <c r="I577" s="17">
        <v>2</v>
      </c>
      <c r="J577" s="91">
        <v>48</v>
      </c>
      <c r="K577" s="17">
        <v>18</v>
      </c>
      <c r="L577" s="17">
        <v>2</v>
      </c>
      <c r="M577" s="8">
        <v>56</v>
      </c>
      <c r="N577" s="9">
        <v>33</v>
      </c>
      <c r="O577" s="17">
        <v>2</v>
      </c>
      <c r="P577" s="8">
        <v>48</v>
      </c>
      <c r="Q577" s="9">
        <v>21</v>
      </c>
      <c r="R577" s="17">
        <v>2</v>
      </c>
      <c r="S577" s="8">
        <f>G577+J577+M577+P577</f>
        <v>196</v>
      </c>
      <c r="T577" s="17">
        <f t="shared" ref="T577:T580" si="238">H577+K577+N577+Q577</f>
        <v>94</v>
      </c>
      <c r="U577" s="12">
        <v>20</v>
      </c>
      <c r="V577" s="16">
        <v>8</v>
      </c>
      <c r="W577" s="91">
        <f>I577+L577+O577+R577</f>
        <v>8</v>
      </c>
    </row>
    <row r="578" spans="1:24" ht="30" customHeight="1" x14ac:dyDescent="0.25">
      <c r="A578" s="17" t="s">
        <v>232</v>
      </c>
      <c r="B578" s="17">
        <v>32</v>
      </c>
      <c r="C578" s="48" t="s">
        <v>85</v>
      </c>
      <c r="D578" s="113" t="s">
        <v>164</v>
      </c>
      <c r="E578" s="11" t="s">
        <v>137</v>
      </c>
      <c r="F578" s="145" t="s">
        <v>107</v>
      </c>
      <c r="G578" s="146">
        <v>72</v>
      </c>
      <c r="H578" s="145">
        <v>38</v>
      </c>
      <c r="I578" s="17">
        <v>3</v>
      </c>
      <c r="J578" s="91">
        <v>46</v>
      </c>
      <c r="K578" s="17">
        <v>26</v>
      </c>
      <c r="L578" s="17">
        <v>2</v>
      </c>
      <c r="M578" s="8">
        <v>53</v>
      </c>
      <c r="N578" s="9">
        <v>30</v>
      </c>
      <c r="O578" s="17">
        <v>2</v>
      </c>
      <c r="P578" s="8">
        <v>43</v>
      </c>
      <c r="Q578" s="9">
        <v>16</v>
      </c>
      <c r="R578" s="17">
        <v>2</v>
      </c>
      <c r="S578" s="8">
        <f t="shared" ref="S578:S580" si="239">G578+J578+M578+P578</f>
        <v>214</v>
      </c>
      <c r="T578" s="17">
        <f t="shared" si="238"/>
        <v>110</v>
      </c>
      <c r="U578" s="12">
        <v>25</v>
      </c>
      <c r="V578" s="16">
        <v>13</v>
      </c>
      <c r="W578" s="91">
        <f>I578+L578+O578+R578</f>
        <v>9</v>
      </c>
    </row>
    <row r="579" spans="1:24" ht="30" customHeight="1" x14ac:dyDescent="0.25">
      <c r="A579" s="145" t="s">
        <v>232</v>
      </c>
      <c r="B579" s="145">
        <v>33</v>
      </c>
      <c r="C579" s="11" t="s">
        <v>57</v>
      </c>
      <c r="D579" s="113" t="s">
        <v>161</v>
      </c>
      <c r="E579" s="11" t="s">
        <v>217</v>
      </c>
      <c r="F579" s="145" t="s">
        <v>105</v>
      </c>
      <c r="G579" s="146">
        <f>1+11+1+9+2+9</f>
        <v>33</v>
      </c>
      <c r="H579" s="145">
        <f>7+1+4+6</f>
        <v>18</v>
      </c>
      <c r="I579" s="145">
        <v>1.5</v>
      </c>
      <c r="J579" s="146">
        <f>1+7+2+1+7+3+1+8+1</f>
        <v>31</v>
      </c>
      <c r="K579" s="145">
        <f>4+2+1+3+1+6+1</f>
        <v>18</v>
      </c>
      <c r="L579" s="145">
        <v>1.5</v>
      </c>
      <c r="M579" s="146">
        <f>3+12+2+15+1</f>
        <v>33</v>
      </c>
      <c r="N579" s="145">
        <f>8+7</f>
        <v>15</v>
      </c>
      <c r="O579" s="145">
        <v>2</v>
      </c>
      <c r="P579" s="146">
        <f>2+1+24+1</f>
        <v>28</v>
      </c>
      <c r="Q579" s="145">
        <f>1+9+1</f>
        <v>11</v>
      </c>
      <c r="R579" s="145">
        <v>1</v>
      </c>
      <c r="S579" s="8">
        <f t="shared" si="239"/>
        <v>125</v>
      </c>
      <c r="T579" s="78">
        <f t="shared" si="238"/>
        <v>62</v>
      </c>
      <c r="U579" s="79">
        <v>27</v>
      </c>
      <c r="V579" s="22">
        <v>10</v>
      </c>
      <c r="W579" s="98">
        <f>I579+L579+O579+R579</f>
        <v>6</v>
      </c>
    </row>
    <row r="580" spans="1:24" ht="30" customHeight="1" x14ac:dyDescent="0.25">
      <c r="A580" s="145" t="s">
        <v>232</v>
      </c>
      <c r="B580" s="145">
        <v>34</v>
      </c>
      <c r="C580" s="11" t="s">
        <v>54</v>
      </c>
      <c r="D580" s="113" t="s">
        <v>162</v>
      </c>
      <c r="E580" s="11" t="s">
        <v>15</v>
      </c>
      <c r="F580" s="145" t="s">
        <v>105</v>
      </c>
      <c r="G580" s="146">
        <v>72</v>
      </c>
      <c r="H580" s="145">
        <v>37</v>
      </c>
      <c r="I580" s="145">
        <v>3</v>
      </c>
      <c r="J580" s="146">
        <v>68</v>
      </c>
      <c r="K580" s="145">
        <v>31</v>
      </c>
      <c r="L580" s="145">
        <v>3</v>
      </c>
      <c r="M580" s="146">
        <v>67</v>
      </c>
      <c r="N580" s="145">
        <v>32</v>
      </c>
      <c r="O580" s="145">
        <v>3</v>
      </c>
      <c r="P580" s="146">
        <v>59</v>
      </c>
      <c r="Q580" s="145">
        <v>31</v>
      </c>
      <c r="R580" s="145">
        <v>3</v>
      </c>
      <c r="S580" s="8">
        <f t="shared" si="239"/>
        <v>266</v>
      </c>
      <c r="T580" s="78">
        <f t="shared" si="238"/>
        <v>131</v>
      </c>
      <c r="U580" s="79">
        <v>36</v>
      </c>
      <c r="V580" s="22">
        <v>18</v>
      </c>
      <c r="W580" s="98">
        <f>I580+L580+O580+R580</f>
        <v>12</v>
      </c>
    </row>
    <row r="581" spans="1:24" s="111" customFormat="1" ht="30" customHeight="1" x14ac:dyDescent="0.25">
      <c r="A581" s="146" t="s">
        <v>232</v>
      </c>
      <c r="B581" s="126" t="s">
        <v>93</v>
      </c>
      <c r="C581" s="126"/>
      <c r="D581" s="126"/>
      <c r="E581" s="133"/>
      <c r="F581" s="132"/>
      <c r="G581" s="91">
        <f t="shared" ref="G581:W581" si="240">SUM(G577:G580)</f>
        <v>221</v>
      </c>
      <c r="H581" s="91">
        <f t="shared" si="240"/>
        <v>115</v>
      </c>
      <c r="I581" s="146">
        <f t="shared" si="240"/>
        <v>9.5</v>
      </c>
      <c r="J581" s="146">
        <f t="shared" si="240"/>
        <v>193</v>
      </c>
      <c r="K581" s="146">
        <f t="shared" si="240"/>
        <v>93</v>
      </c>
      <c r="L581" s="146">
        <f t="shared" si="240"/>
        <v>8.5</v>
      </c>
      <c r="M581" s="146">
        <f t="shared" si="240"/>
        <v>209</v>
      </c>
      <c r="N581" s="146">
        <f t="shared" si="240"/>
        <v>110</v>
      </c>
      <c r="O581" s="146">
        <f t="shared" si="240"/>
        <v>9</v>
      </c>
      <c r="P581" s="146">
        <f t="shared" si="240"/>
        <v>178</v>
      </c>
      <c r="Q581" s="146">
        <f t="shared" si="240"/>
        <v>79</v>
      </c>
      <c r="R581" s="146">
        <f t="shared" si="240"/>
        <v>8</v>
      </c>
      <c r="S581" s="98">
        <f t="shared" si="240"/>
        <v>801</v>
      </c>
      <c r="T581" s="98">
        <f t="shared" si="240"/>
        <v>397</v>
      </c>
      <c r="U581" s="79">
        <f t="shared" si="240"/>
        <v>108</v>
      </c>
      <c r="V581" s="79">
        <f t="shared" si="240"/>
        <v>49</v>
      </c>
      <c r="W581" s="98">
        <f t="shared" si="240"/>
        <v>35</v>
      </c>
      <c r="X581" s="115"/>
    </row>
    <row r="582" spans="1:24" ht="30" customHeight="1" x14ac:dyDescent="0.25">
      <c r="A582" s="145" t="s">
        <v>232</v>
      </c>
      <c r="B582" s="145">
        <v>45</v>
      </c>
      <c r="C582" s="11" t="s">
        <v>65</v>
      </c>
      <c r="D582" s="113" t="s">
        <v>170</v>
      </c>
      <c r="E582" s="11" t="s">
        <v>25</v>
      </c>
      <c r="F582" s="145" t="s">
        <v>105</v>
      </c>
      <c r="G582" s="146">
        <v>50</v>
      </c>
      <c r="H582" s="145">
        <v>25</v>
      </c>
      <c r="I582" s="145">
        <v>2</v>
      </c>
      <c r="J582" s="146">
        <v>40</v>
      </c>
      <c r="K582" s="145">
        <v>19</v>
      </c>
      <c r="L582" s="145">
        <v>2</v>
      </c>
      <c r="M582" s="146">
        <v>44</v>
      </c>
      <c r="N582" s="145">
        <v>27</v>
      </c>
      <c r="O582" s="145">
        <v>2</v>
      </c>
      <c r="P582" s="146">
        <v>50</v>
      </c>
      <c r="Q582" s="145">
        <v>22</v>
      </c>
      <c r="R582" s="145">
        <v>2</v>
      </c>
      <c r="S582" s="98">
        <f t="shared" ref="S582:S585" si="241">G582+J582+M582+P582</f>
        <v>184</v>
      </c>
      <c r="T582" s="78">
        <f t="shared" ref="T582:T585" si="242">H582+K582+N582+Q582</f>
        <v>93</v>
      </c>
      <c r="U582" s="79">
        <v>14</v>
      </c>
      <c r="V582" s="22">
        <v>7</v>
      </c>
      <c r="W582" s="98">
        <f>I582+L582+O582+R582</f>
        <v>8</v>
      </c>
    </row>
    <row r="583" spans="1:24" ht="30" customHeight="1" x14ac:dyDescent="0.25">
      <c r="A583" s="17" t="s">
        <v>232</v>
      </c>
      <c r="B583" s="17">
        <v>45</v>
      </c>
      <c r="C583" s="48" t="s">
        <v>65</v>
      </c>
      <c r="D583" s="113" t="s">
        <v>171</v>
      </c>
      <c r="E583" s="11" t="s">
        <v>43</v>
      </c>
      <c r="F583" s="145" t="s">
        <v>107</v>
      </c>
      <c r="G583" s="146">
        <v>41</v>
      </c>
      <c r="H583" s="145">
        <v>18</v>
      </c>
      <c r="I583" s="17">
        <v>2</v>
      </c>
      <c r="J583" s="91">
        <v>55</v>
      </c>
      <c r="K583" s="17">
        <v>25</v>
      </c>
      <c r="L583" s="17">
        <v>2</v>
      </c>
      <c r="M583" s="8">
        <v>44</v>
      </c>
      <c r="N583" s="17">
        <v>26</v>
      </c>
      <c r="O583" s="17">
        <v>2</v>
      </c>
      <c r="P583" s="8">
        <v>51</v>
      </c>
      <c r="Q583" s="9">
        <v>23</v>
      </c>
      <c r="R583" s="17">
        <v>2</v>
      </c>
      <c r="S583" s="91">
        <f t="shared" si="241"/>
        <v>191</v>
      </c>
      <c r="T583" s="17">
        <f t="shared" si="242"/>
        <v>92</v>
      </c>
      <c r="U583" s="12">
        <v>13</v>
      </c>
      <c r="V583" s="16">
        <v>5</v>
      </c>
      <c r="W583" s="91">
        <f>I583+L583+O583+R583</f>
        <v>8</v>
      </c>
    </row>
    <row r="584" spans="1:24" ht="30" customHeight="1" x14ac:dyDescent="0.25">
      <c r="A584" s="145" t="s">
        <v>232</v>
      </c>
      <c r="B584" s="145">
        <v>46</v>
      </c>
      <c r="C584" s="11" t="s">
        <v>73</v>
      </c>
      <c r="D584" s="113" t="s">
        <v>172</v>
      </c>
      <c r="E584" s="11" t="s">
        <v>30</v>
      </c>
      <c r="F584" s="145" t="s">
        <v>105</v>
      </c>
      <c r="G584" s="146">
        <v>76</v>
      </c>
      <c r="H584" s="145">
        <v>41</v>
      </c>
      <c r="I584" s="145">
        <v>3</v>
      </c>
      <c r="J584" s="146">
        <v>86</v>
      </c>
      <c r="K584" s="145">
        <v>48</v>
      </c>
      <c r="L584" s="145">
        <v>3</v>
      </c>
      <c r="M584" s="146">
        <v>74</v>
      </c>
      <c r="N584" s="145">
        <v>27</v>
      </c>
      <c r="O584" s="145">
        <v>3</v>
      </c>
      <c r="P584" s="146">
        <v>63</v>
      </c>
      <c r="Q584" s="145">
        <v>33</v>
      </c>
      <c r="R584" s="145">
        <v>3</v>
      </c>
      <c r="S584" s="98">
        <f t="shared" si="241"/>
        <v>299</v>
      </c>
      <c r="T584" s="78">
        <f t="shared" si="242"/>
        <v>149</v>
      </c>
      <c r="U584" s="79">
        <v>46</v>
      </c>
      <c r="V584" s="22">
        <v>19</v>
      </c>
      <c r="W584" s="98">
        <f>I584+L584+O584+R584</f>
        <v>12</v>
      </c>
    </row>
    <row r="585" spans="1:24" ht="30" customHeight="1" x14ac:dyDescent="0.25">
      <c r="A585" s="145" t="s">
        <v>232</v>
      </c>
      <c r="B585" s="145">
        <v>47</v>
      </c>
      <c r="C585" s="11" t="s">
        <v>53</v>
      </c>
      <c r="D585" s="113" t="s">
        <v>173</v>
      </c>
      <c r="E585" s="11" t="s">
        <v>133</v>
      </c>
      <c r="F585" s="145" t="s">
        <v>105</v>
      </c>
      <c r="G585" s="146">
        <v>69</v>
      </c>
      <c r="H585" s="145">
        <v>42</v>
      </c>
      <c r="I585" s="145">
        <v>3</v>
      </c>
      <c r="J585" s="146">
        <f>62+17</f>
        <v>79</v>
      </c>
      <c r="K585" s="145">
        <f>35+8</f>
        <v>43</v>
      </c>
      <c r="L585" s="145">
        <v>3</v>
      </c>
      <c r="M585" s="146">
        <v>73</v>
      </c>
      <c r="N585" s="145">
        <v>32</v>
      </c>
      <c r="O585" s="145">
        <v>3</v>
      </c>
      <c r="P585" s="146">
        <v>74</v>
      </c>
      <c r="Q585" s="145">
        <v>31</v>
      </c>
      <c r="R585" s="145">
        <v>3</v>
      </c>
      <c r="S585" s="98">
        <f t="shared" si="241"/>
        <v>295</v>
      </c>
      <c r="T585" s="78">
        <f t="shared" si="242"/>
        <v>148</v>
      </c>
      <c r="U585" s="79">
        <v>43</v>
      </c>
      <c r="V585" s="22">
        <v>23</v>
      </c>
      <c r="W585" s="98">
        <f>I585+L585+O585+R585</f>
        <v>12</v>
      </c>
    </row>
    <row r="586" spans="1:24" s="111" customFormat="1" ht="30" customHeight="1" x14ac:dyDescent="0.25">
      <c r="A586" s="146" t="s">
        <v>232</v>
      </c>
      <c r="B586" s="126" t="s">
        <v>94</v>
      </c>
      <c r="C586" s="126"/>
      <c r="D586" s="126"/>
      <c r="E586" s="133"/>
      <c r="F586" s="132"/>
      <c r="G586" s="91">
        <f>SUM(G582:G585)</f>
        <v>236</v>
      </c>
      <c r="H586" s="91">
        <f t="shared" ref="H586:W586" si="243">SUM(H582:H585)</f>
        <v>126</v>
      </c>
      <c r="I586" s="91">
        <f t="shared" si="243"/>
        <v>10</v>
      </c>
      <c r="J586" s="91">
        <f t="shared" si="243"/>
        <v>260</v>
      </c>
      <c r="K586" s="91">
        <f t="shared" si="243"/>
        <v>135</v>
      </c>
      <c r="L586" s="91">
        <f t="shared" si="243"/>
        <v>10</v>
      </c>
      <c r="M586" s="91">
        <f t="shared" si="243"/>
        <v>235</v>
      </c>
      <c r="N586" s="91">
        <f t="shared" si="243"/>
        <v>112</v>
      </c>
      <c r="O586" s="91">
        <f t="shared" si="243"/>
        <v>10</v>
      </c>
      <c r="P586" s="91">
        <f t="shared" si="243"/>
        <v>238</v>
      </c>
      <c r="Q586" s="91">
        <f t="shared" si="243"/>
        <v>109</v>
      </c>
      <c r="R586" s="91">
        <f t="shared" si="243"/>
        <v>10</v>
      </c>
      <c r="S586" s="91">
        <f t="shared" si="243"/>
        <v>969</v>
      </c>
      <c r="T586" s="91">
        <f t="shared" si="243"/>
        <v>482</v>
      </c>
      <c r="U586" s="91">
        <f t="shared" si="243"/>
        <v>116</v>
      </c>
      <c r="V586" s="91">
        <f t="shared" si="243"/>
        <v>54</v>
      </c>
      <c r="W586" s="91">
        <f t="shared" si="243"/>
        <v>40</v>
      </c>
      <c r="X586" s="115"/>
    </row>
    <row r="587" spans="1:24" s="111" customFormat="1" ht="30" customHeight="1" x14ac:dyDescent="0.25">
      <c r="A587" s="146" t="s">
        <v>232</v>
      </c>
      <c r="B587" s="133" t="s">
        <v>95</v>
      </c>
      <c r="C587" s="134"/>
      <c r="D587" s="134"/>
      <c r="E587" s="134"/>
      <c r="F587" s="132"/>
      <c r="G587" s="12">
        <f>G570+G576+G581+G586</f>
        <v>735</v>
      </c>
      <c r="H587" s="91">
        <f t="shared" ref="H587:W587" si="244">H570+H576+H581+H586</f>
        <v>372</v>
      </c>
      <c r="I587" s="146">
        <f t="shared" si="244"/>
        <v>32.75</v>
      </c>
      <c r="J587" s="146">
        <f t="shared" si="244"/>
        <v>784</v>
      </c>
      <c r="K587" s="146">
        <f t="shared" si="244"/>
        <v>386</v>
      </c>
      <c r="L587" s="129">
        <f t="shared" si="244"/>
        <v>31.75</v>
      </c>
      <c r="M587" s="146">
        <f t="shared" si="244"/>
        <v>724</v>
      </c>
      <c r="N587" s="146">
        <f t="shared" si="244"/>
        <v>379</v>
      </c>
      <c r="O587" s="146">
        <f t="shared" si="244"/>
        <v>30.75</v>
      </c>
      <c r="P587" s="146">
        <f t="shared" si="244"/>
        <v>715</v>
      </c>
      <c r="Q587" s="146">
        <f t="shared" si="244"/>
        <v>335</v>
      </c>
      <c r="R587" s="146">
        <f t="shared" si="244"/>
        <v>29.75</v>
      </c>
      <c r="S587" s="128">
        <f t="shared" si="244"/>
        <v>2958</v>
      </c>
      <c r="T587" s="128">
        <f t="shared" si="244"/>
        <v>1472</v>
      </c>
      <c r="U587" s="79">
        <f t="shared" si="244"/>
        <v>332</v>
      </c>
      <c r="V587" s="79">
        <f t="shared" si="244"/>
        <v>162</v>
      </c>
      <c r="W587" s="98">
        <f t="shared" si="244"/>
        <v>125</v>
      </c>
      <c r="X587" s="115"/>
    </row>
    <row r="588" spans="1:24" ht="30" customHeight="1" x14ac:dyDescent="0.25">
      <c r="A588" s="145" t="s">
        <v>232</v>
      </c>
      <c r="B588" s="145">
        <v>51</v>
      </c>
      <c r="C588" s="11" t="s">
        <v>66</v>
      </c>
      <c r="D588" s="113" t="s">
        <v>174</v>
      </c>
      <c r="E588" s="11" t="s">
        <v>26</v>
      </c>
      <c r="F588" s="145" t="s">
        <v>105</v>
      </c>
      <c r="G588" s="146">
        <v>63</v>
      </c>
      <c r="H588" s="145">
        <v>26</v>
      </c>
      <c r="I588" s="145">
        <v>3</v>
      </c>
      <c r="J588" s="146">
        <v>54</v>
      </c>
      <c r="K588" s="145">
        <v>21</v>
      </c>
      <c r="L588" s="145">
        <v>2</v>
      </c>
      <c r="M588" s="146">
        <v>63</v>
      </c>
      <c r="N588" s="145">
        <v>30</v>
      </c>
      <c r="O588" s="145">
        <v>3</v>
      </c>
      <c r="P588" s="146">
        <v>60</v>
      </c>
      <c r="Q588" s="145">
        <v>25</v>
      </c>
      <c r="R588" s="145">
        <v>3</v>
      </c>
      <c r="S588" s="98">
        <f t="shared" ref="S588:S622" si="245">G588+J588+M588+P588</f>
        <v>240</v>
      </c>
      <c r="T588" s="78">
        <f t="shared" ref="T588:T622" si="246">H588+K588+N588+Q588</f>
        <v>102</v>
      </c>
      <c r="U588" s="79">
        <v>49</v>
      </c>
      <c r="V588" s="22">
        <v>20</v>
      </c>
      <c r="W588" s="98">
        <f>I588+L588+O588+R588</f>
        <v>11</v>
      </c>
    </row>
    <row r="589" spans="1:24" ht="30" customHeight="1" x14ac:dyDescent="0.25">
      <c r="A589" s="17" t="s">
        <v>232</v>
      </c>
      <c r="B589" s="17">
        <v>51</v>
      </c>
      <c r="C589" s="48" t="s">
        <v>66</v>
      </c>
      <c r="D589" s="113" t="s">
        <v>175</v>
      </c>
      <c r="E589" s="11" t="s">
        <v>41</v>
      </c>
      <c r="F589" s="145" t="s">
        <v>107</v>
      </c>
      <c r="G589" s="146">
        <v>77</v>
      </c>
      <c r="H589" s="145">
        <v>33</v>
      </c>
      <c r="I589" s="17">
        <v>3</v>
      </c>
      <c r="J589" s="91">
        <v>80</v>
      </c>
      <c r="K589" s="17">
        <v>40</v>
      </c>
      <c r="L589" s="17">
        <v>3</v>
      </c>
      <c r="M589" s="8">
        <v>73</v>
      </c>
      <c r="N589" s="9">
        <v>31</v>
      </c>
      <c r="O589" s="17">
        <v>3</v>
      </c>
      <c r="P589" s="8">
        <v>79</v>
      </c>
      <c r="Q589" s="9">
        <v>41</v>
      </c>
      <c r="R589" s="17">
        <v>3</v>
      </c>
      <c r="S589" s="91">
        <f t="shared" si="245"/>
        <v>309</v>
      </c>
      <c r="T589" s="17">
        <f t="shared" si="246"/>
        <v>145</v>
      </c>
      <c r="U589" s="12">
        <v>32</v>
      </c>
      <c r="V589" s="16">
        <v>19</v>
      </c>
      <c r="W589" s="91">
        <f>I589+L589+O589+R589</f>
        <v>12</v>
      </c>
    </row>
    <row r="590" spans="1:24" ht="30" customHeight="1" x14ac:dyDescent="0.25">
      <c r="A590" s="17" t="s">
        <v>232</v>
      </c>
      <c r="B590" s="17">
        <v>51</v>
      </c>
      <c r="C590" s="48" t="s">
        <v>66</v>
      </c>
      <c r="D590" s="113" t="s">
        <v>176</v>
      </c>
      <c r="E590" s="11" t="s">
        <v>206</v>
      </c>
      <c r="F590" s="145" t="s">
        <v>106</v>
      </c>
      <c r="G590" s="146">
        <v>89</v>
      </c>
      <c r="H590" s="145">
        <v>37</v>
      </c>
      <c r="I590" s="17">
        <v>4</v>
      </c>
      <c r="J590" s="91">
        <f>85+8</f>
        <v>93</v>
      </c>
      <c r="K590" s="17">
        <f>42+2</f>
        <v>44</v>
      </c>
      <c r="L590" s="17">
        <v>4</v>
      </c>
      <c r="M590" s="91">
        <v>90</v>
      </c>
      <c r="N590" s="17">
        <v>49</v>
      </c>
      <c r="O590" s="17">
        <v>4</v>
      </c>
      <c r="P590" s="91">
        <v>103</v>
      </c>
      <c r="Q590" s="17">
        <v>52</v>
      </c>
      <c r="R590" s="17">
        <v>4</v>
      </c>
      <c r="S590" s="91">
        <f t="shared" si="245"/>
        <v>375</v>
      </c>
      <c r="T590" s="17">
        <f t="shared" si="246"/>
        <v>182</v>
      </c>
      <c r="U590" s="12">
        <v>33</v>
      </c>
      <c r="V590" s="16">
        <v>17</v>
      </c>
      <c r="W590" s="91">
        <f>I590+L590+O590+R590</f>
        <v>16</v>
      </c>
    </row>
    <row r="591" spans="1:24" ht="30" customHeight="1" x14ac:dyDescent="0.25">
      <c r="A591" s="145" t="s">
        <v>232</v>
      </c>
      <c r="B591" s="145">
        <v>52</v>
      </c>
      <c r="C591" s="11" t="s">
        <v>72</v>
      </c>
      <c r="D591" s="113" t="s">
        <v>177</v>
      </c>
      <c r="E591" s="11" t="s">
        <v>29</v>
      </c>
      <c r="F591" s="145" t="s">
        <v>105</v>
      </c>
      <c r="G591" s="146">
        <v>27</v>
      </c>
      <c r="H591" s="145">
        <v>12</v>
      </c>
      <c r="I591" s="145">
        <v>1</v>
      </c>
      <c r="J591" s="146">
        <v>40</v>
      </c>
      <c r="K591" s="145">
        <v>21</v>
      </c>
      <c r="L591" s="145">
        <v>2</v>
      </c>
      <c r="M591" s="146">
        <v>44</v>
      </c>
      <c r="N591" s="145">
        <v>26</v>
      </c>
      <c r="O591" s="145">
        <v>2</v>
      </c>
      <c r="P591" s="146">
        <v>36</v>
      </c>
      <c r="Q591" s="145">
        <v>14</v>
      </c>
      <c r="R591" s="145">
        <v>2</v>
      </c>
      <c r="S591" s="98">
        <f t="shared" si="245"/>
        <v>147</v>
      </c>
      <c r="T591" s="78">
        <f t="shared" si="246"/>
        <v>73</v>
      </c>
      <c r="U591" s="79">
        <v>12</v>
      </c>
      <c r="V591" s="22">
        <v>6</v>
      </c>
      <c r="W591" s="98">
        <f>I591+L591+O591+R591</f>
        <v>7</v>
      </c>
    </row>
    <row r="592" spans="1:24" ht="30" customHeight="1" x14ac:dyDescent="0.25">
      <c r="A592" s="17" t="s">
        <v>232</v>
      </c>
      <c r="B592" s="17">
        <v>54</v>
      </c>
      <c r="C592" s="48" t="s">
        <v>89</v>
      </c>
      <c r="D592" s="113" t="s">
        <v>178</v>
      </c>
      <c r="E592" s="11" t="s">
        <v>111</v>
      </c>
      <c r="F592" s="145" t="s">
        <v>107</v>
      </c>
      <c r="G592" s="146">
        <v>76</v>
      </c>
      <c r="H592" s="145">
        <v>35</v>
      </c>
      <c r="I592" s="17">
        <v>3</v>
      </c>
      <c r="J592" s="91">
        <v>83</v>
      </c>
      <c r="K592" s="17">
        <v>45</v>
      </c>
      <c r="L592" s="17">
        <v>3</v>
      </c>
      <c r="M592" s="8">
        <v>59</v>
      </c>
      <c r="N592" s="9">
        <v>29</v>
      </c>
      <c r="O592" s="17">
        <v>2</v>
      </c>
      <c r="P592" s="8">
        <v>52</v>
      </c>
      <c r="Q592" s="9">
        <v>23</v>
      </c>
      <c r="R592" s="17">
        <v>2</v>
      </c>
      <c r="S592" s="91">
        <f t="shared" si="245"/>
        <v>270</v>
      </c>
      <c r="T592" s="17">
        <f t="shared" si="246"/>
        <v>132</v>
      </c>
      <c r="U592" s="12">
        <v>38</v>
      </c>
      <c r="V592" s="16">
        <v>17</v>
      </c>
      <c r="W592" s="91">
        <f>I592+L592+O592+R592</f>
        <v>10</v>
      </c>
    </row>
    <row r="593" spans="1:24" ht="30" customHeight="1" x14ac:dyDescent="0.25">
      <c r="A593" s="17" t="s">
        <v>232</v>
      </c>
      <c r="B593" s="17">
        <v>56</v>
      </c>
      <c r="C593" s="48" t="s">
        <v>83</v>
      </c>
      <c r="D593" s="113" t="s">
        <v>179</v>
      </c>
      <c r="E593" s="11" t="s">
        <v>38</v>
      </c>
      <c r="F593" s="145" t="s">
        <v>107</v>
      </c>
      <c r="G593" s="146">
        <v>73</v>
      </c>
      <c r="H593" s="145">
        <v>36</v>
      </c>
      <c r="I593" s="17">
        <v>3</v>
      </c>
      <c r="J593" s="91">
        <v>83</v>
      </c>
      <c r="K593" s="17">
        <v>35</v>
      </c>
      <c r="L593" s="17">
        <v>3</v>
      </c>
      <c r="M593" s="8">
        <v>74</v>
      </c>
      <c r="N593" s="9">
        <v>38</v>
      </c>
      <c r="O593" s="17">
        <v>3</v>
      </c>
      <c r="P593" s="8">
        <v>92</v>
      </c>
      <c r="Q593" s="9">
        <v>52</v>
      </c>
      <c r="R593" s="17">
        <v>4</v>
      </c>
      <c r="S593" s="8">
        <f t="shared" si="245"/>
        <v>322</v>
      </c>
      <c r="T593" s="17">
        <f t="shared" si="246"/>
        <v>161</v>
      </c>
      <c r="U593" s="12">
        <v>30</v>
      </c>
      <c r="V593" s="16">
        <v>19</v>
      </c>
      <c r="W593" s="91">
        <f>I593+L593+O593+R593</f>
        <v>13</v>
      </c>
    </row>
    <row r="594" spans="1:24" ht="30" customHeight="1" x14ac:dyDescent="0.25">
      <c r="A594" s="145" t="s">
        <v>232</v>
      </c>
      <c r="B594" s="145">
        <v>57</v>
      </c>
      <c r="C594" s="11" t="s">
        <v>63</v>
      </c>
      <c r="D594" s="113" t="s">
        <v>180</v>
      </c>
      <c r="E594" s="11" t="s">
        <v>23</v>
      </c>
      <c r="F594" s="145" t="s">
        <v>105</v>
      </c>
      <c r="G594" s="146">
        <v>87</v>
      </c>
      <c r="H594" s="145">
        <v>36</v>
      </c>
      <c r="I594" s="145">
        <v>4</v>
      </c>
      <c r="J594" s="146">
        <v>91</v>
      </c>
      <c r="K594" s="145">
        <v>39</v>
      </c>
      <c r="L594" s="145">
        <v>4</v>
      </c>
      <c r="M594" s="146">
        <v>85</v>
      </c>
      <c r="N594" s="145">
        <v>35</v>
      </c>
      <c r="O594" s="145">
        <v>4</v>
      </c>
      <c r="P594" s="146">
        <v>112</v>
      </c>
      <c r="Q594" s="145">
        <v>50</v>
      </c>
      <c r="R594" s="145">
        <v>5</v>
      </c>
      <c r="S594" s="98">
        <f t="shared" si="245"/>
        <v>375</v>
      </c>
      <c r="T594" s="78">
        <f t="shared" si="246"/>
        <v>160</v>
      </c>
      <c r="U594" s="79">
        <v>47</v>
      </c>
      <c r="V594" s="22">
        <v>17</v>
      </c>
      <c r="W594" s="98">
        <f>I594+L594+O594+R594</f>
        <v>17</v>
      </c>
    </row>
    <row r="595" spans="1:24" ht="30" customHeight="1" x14ac:dyDescent="0.25">
      <c r="A595" s="145" t="s">
        <v>232</v>
      </c>
      <c r="B595" s="145">
        <v>58</v>
      </c>
      <c r="C595" s="11" t="s">
        <v>50</v>
      </c>
      <c r="D595" s="113" t="s">
        <v>181</v>
      </c>
      <c r="E595" s="11" t="s">
        <v>215</v>
      </c>
      <c r="F595" s="145" t="s">
        <v>105</v>
      </c>
      <c r="G595" s="146">
        <v>44</v>
      </c>
      <c r="H595" s="145">
        <v>24</v>
      </c>
      <c r="I595" s="145">
        <v>2</v>
      </c>
      <c r="J595" s="146">
        <v>66</v>
      </c>
      <c r="K595" s="145">
        <v>33</v>
      </c>
      <c r="L595" s="145">
        <v>3</v>
      </c>
      <c r="M595" s="146">
        <v>55</v>
      </c>
      <c r="N595" s="145">
        <v>30</v>
      </c>
      <c r="O595" s="145">
        <v>2</v>
      </c>
      <c r="P595" s="146">
        <v>45</v>
      </c>
      <c r="Q595" s="145">
        <v>20</v>
      </c>
      <c r="R595" s="145">
        <v>2</v>
      </c>
      <c r="S595" s="98">
        <f t="shared" si="245"/>
        <v>210</v>
      </c>
      <c r="T595" s="78">
        <f t="shared" si="246"/>
        <v>107</v>
      </c>
      <c r="U595" s="79">
        <v>21</v>
      </c>
      <c r="V595" s="22">
        <v>12</v>
      </c>
      <c r="W595" s="98">
        <f>I595+L595+O595+R595</f>
        <v>9</v>
      </c>
    </row>
    <row r="596" spans="1:24" s="111" customFormat="1" ht="30" customHeight="1" x14ac:dyDescent="0.25">
      <c r="A596" s="146" t="s">
        <v>232</v>
      </c>
      <c r="B596" s="133" t="s">
        <v>96</v>
      </c>
      <c r="C596" s="134"/>
      <c r="D596" s="134"/>
      <c r="E596" s="134"/>
      <c r="F596" s="132"/>
      <c r="G596" s="146">
        <f t="shared" ref="G596:R596" si="247">SUM(G588:G595)</f>
        <v>536</v>
      </c>
      <c r="H596" s="146">
        <f t="shared" si="247"/>
        <v>239</v>
      </c>
      <c r="I596" s="146">
        <f t="shared" si="247"/>
        <v>23</v>
      </c>
      <c r="J596" s="146">
        <f t="shared" si="247"/>
        <v>590</v>
      </c>
      <c r="K596" s="146">
        <f t="shared" si="247"/>
        <v>278</v>
      </c>
      <c r="L596" s="140">
        <f t="shared" si="247"/>
        <v>24</v>
      </c>
      <c r="M596" s="146">
        <f t="shared" si="247"/>
        <v>543</v>
      </c>
      <c r="N596" s="146">
        <f t="shared" si="247"/>
        <v>268</v>
      </c>
      <c r="O596" s="146">
        <f t="shared" si="247"/>
        <v>23</v>
      </c>
      <c r="P596" s="146">
        <f t="shared" si="247"/>
        <v>579</v>
      </c>
      <c r="Q596" s="146">
        <f t="shared" si="247"/>
        <v>277</v>
      </c>
      <c r="R596" s="146">
        <f t="shared" si="247"/>
        <v>25</v>
      </c>
      <c r="S596" s="128">
        <f t="shared" si="245"/>
        <v>2248</v>
      </c>
      <c r="T596" s="128">
        <f t="shared" si="246"/>
        <v>1062</v>
      </c>
      <c r="U596" s="79">
        <f t="shared" ref="U596:W596" si="248">SUM(U588:U595)</f>
        <v>262</v>
      </c>
      <c r="V596" s="79">
        <f t="shared" si="248"/>
        <v>127</v>
      </c>
      <c r="W596" s="98">
        <f t="shared" si="248"/>
        <v>95</v>
      </c>
      <c r="X596" s="115"/>
    </row>
    <row r="597" spans="1:24" ht="30" customHeight="1" x14ac:dyDescent="0.25">
      <c r="A597" s="17" t="s">
        <v>232</v>
      </c>
      <c r="B597" s="17">
        <v>61</v>
      </c>
      <c r="C597" s="48" t="s">
        <v>69</v>
      </c>
      <c r="D597" s="113" t="s">
        <v>182</v>
      </c>
      <c r="E597" s="11" t="s">
        <v>208</v>
      </c>
      <c r="F597" s="145" t="s">
        <v>106</v>
      </c>
      <c r="G597" s="146">
        <v>41</v>
      </c>
      <c r="H597" s="145">
        <v>12</v>
      </c>
      <c r="I597" s="17">
        <v>3</v>
      </c>
      <c r="J597" s="91">
        <f>38+31</f>
        <v>69</v>
      </c>
      <c r="K597" s="17">
        <f>23+13</f>
        <v>36</v>
      </c>
      <c r="L597" s="17">
        <v>3</v>
      </c>
      <c r="M597" s="91">
        <v>39</v>
      </c>
      <c r="N597" s="17">
        <v>14</v>
      </c>
      <c r="O597" s="17">
        <v>2</v>
      </c>
      <c r="P597" s="91">
        <v>33</v>
      </c>
      <c r="Q597" s="17">
        <v>17</v>
      </c>
      <c r="R597" s="17">
        <v>2</v>
      </c>
      <c r="S597" s="91">
        <f t="shared" si="245"/>
        <v>182</v>
      </c>
      <c r="T597" s="17">
        <f t="shared" si="246"/>
        <v>79</v>
      </c>
      <c r="U597" s="12">
        <v>101</v>
      </c>
      <c r="V597" s="16">
        <v>42</v>
      </c>
      <c r="W597" s="91">
        <f>I597+L597+O597+R597</f>
        <v>10</v>
      </c>
    </row>
    <row r="598" spans="1:24" ht="30" customHeight="1" x14ac:dyDescent="0.25">
      <c r="A598" s="145" t="s">
        <v>232</v>
      </c>
      <c r="B598" s="145">
        <v>61</v>
      </c>
      <c r="C598" s="11" t="s">
        <v>69</v>
      </c>
      <c r="D598" s="113" t="s">
        <v>183</v>
      </c>
      <c r="E598" s="11" t="s">
        <v>209</v>
      </c>
      <c r="F598" s="145" t="s">
        <v>105</v>
      </c>
      <c r="G598" s="146">
        <v>71</v>
      </c>
      <c r="H598" s="145">
        <v>39</v>
      </c>
      <c r="I598" s="145">
        <v>3.5</v>
      </c>
      <c r="J598" s="146">
        <f>68+25</f>
        <v>93</v>
      </c>
      <c r="K598" s="145">
        <f>36+14</f>
        <v>50</v>
      </c>
      <c r="L598" s="145">
        <v>3.5</v>
      </c>
      <c r="M598" s="146">
        <v>72</v>
      </c>
      <c r="N598" s="145">
        <v>36</v>
      </c>
      <c r="O598" s="145">
        <v>3</v>
      </c>
      <c r="P598" s="146">
        <v>65</v>
      </c>
      <c r="Q598" s="145">
        <v>33</v>
      </c>
      <c r="R598" s="145">
        <v>3</v>
      </c>
      <c r="S598" s="98">
        <f t="shared" si="245"/>
        <v>301</v>
      </c>
      <c r="T598" s="17">
        <f t="shared" si="246"/>
        <v>158</v>
      </c>
      <c r="U598" s="79">
        <v>79</v>
      </c>
      <c r="V598" s="22">
        <v>41</v>
      </c>
      <c r="W598" s="98">
        <f>I598+L598+O598+R598</f>
        <v>13</v>
      </c>
    </row>
    <row r="599" spans="1:24" ht="30" customHeight="1" x14ac:dyDescent="0.25">
      <c r="A599" s="17" t="s">
        <v>232</v>
      </c>
      <c r="B599" s="17">
        <v>62</v>
      </c>
      <c r="C599" s="48" t="s">
        <v>77</v>
      </c>
      <c r="D599" s="113" t="s">
        <v>184</v>
      </c>
      <c r="E599" s="11" t="s">
        <v>76</v>
      </c>
      <c r="F599" s="145" t="s">
        <v>106</v>
      </c>
      <c r="G599" s="146">
        <v>80</v>
      </c>
      <c r="H599" s="145">
        <v>36</v>
      </c>
      <c r="I599" s="17">
        <v>3</v>
      </c>
      <c r="J599" s="91">
        <v>78</v>
      </c>
      <c r="K599" s="17">
        <v>36</v>
      </c>
      <c r="L599" s="17">
        <v>3</v>
      </c>
      <c r="M599" s="91">
        <v>70</v>
      </c>
      <c r="N599" s="17">
        <v>38</v>
      </c>
      <c r="O599" s="17">
        <v>3</v>
      </c>
      <c r="P599" s="91">
        <v>70</v>
      </c>
      <c r="Q599" s="17">
        <v>34</v>
      </c>
      <c r="R599" s="17">
        <v>3</v>
      </c>
      <c r="S599" s="91">
        <f t="shared" si="245"/>
        <v>298</v>
      </c>
      <c r="T599" s="17">
        <f t="shared" si="246"/>
        <v>144</v>
      </c>
      <c r="U599" s="12">
        <v>36</v>
      </c>
      <c r="V599" s="16">
        <v>16</v>
      </c>
      <c r="W599" s="91">
        <f>I599+L599+O599+R599</f>
        <v>12</v>
      </c>
    </row>
    <row r="600" spans="1:24" ht="30" customHeight="1" x14ac:dyDescent="0.25">
      <c r="A600" s="17" t="s">
        <v>232</v>
      </c>
      <c r="B600" s="17">
        <v>63</v>
      </c>
      <c r="C600" s="48" t="s">
        <v>80</v>
      </c>
      <c r="D600" s="113" t="s">
        <v>185</v>
      </c>
      <c r="E600" s="11" t="s">
        <v>110</v>
      </c>
      <c r="F600" s="145" t="s">
        <v>107</v>
      </c>
      <c r="G600" s="146">
        <v>58</v>
      </c>
      <c r="H600" s="145">
        <v>26</v>
      </c>
      <c r="I600" s="17">
        <v>2</v>
      </c>
      <c r="J600" s="91">
        <v>48</v>
      </c>
      <c r="K600" s="17">
        <v>22</v>
      </c>
      <c r="L600" s="17">
        <v>2</v>
      </c>
      <c r="M600" s="8">
        <v>54</v>
      </c>
      <c r="N600" s="9">
        <v>29</v>
      </c>
      <c r="O600" s="17">
        <v>2</v>
      </c>
      <c r="P600" s="8">
        <v>53</v>
      </c>
      <c r="Q600" s="9">
        <v>21</v>
      </c>
      <c r="R600" s="17">
        <v>2</v>
      </c>
      <c r="S600" s="91">
        <f t="shared" si="245"/>
        <v>213</v>
      </c>
      <c r="T600" s="17">
        <f t="shared" si="246"/>
        <v>98</v>
      </c>
      <c r="U600" s="12">
        <v>39</v>
      </c>
      <c r="V600" s="16">
        <v>14</v>
      </c>
      <c r="W600" s="91">
        <f>I600+L600+O600+R600</f>
        <v>8</v>
      </c>
    </row>
    <row r="601" spans="1:24" ht="30" customHeight="1" x14ac:dyDescent="0.25">
      <c r="A601" s="17" t="s">
        <v>232</v>
      </c>
      <c r="B601" s="17">
        <v>63</v>
      </c>
      <c r="C601" s="48" t="s">
        <v>80</v>
      </c>
      <c r="D601" s="113" t="s">
        <v>186</v>
      </c>
      <c r="E601" s="11" t="s">
        <v>210</v>
      </c>
      <c r="F601" s="145" t="s">
        <v>107</v>
      </c>
      <c r="G601" s="146">
        <v>52</v>
      </c>
      <c r="H601" s="145">
        <v>24</v>
      </c>
      <c r="I601" s="17">
        <v>3</v>
      </c>
      <c r="J601" s="91">
        <f>50+30</f>
        <v>80</v>
      </c>
      <c r="K601" s="17">
        <f>28+15</f>
        <v>43</v>
      </c>
      <c r="L601" s="17">
        <v>3</v>
      </c>
      <c r="M601" s="8">
        <v>58</v>
      </c>
      <c r="N601" s="9">
        <v>31</v>
      </c>
      <c r="O601" s="17">
        <v>2</v>
      </c>
      <c r="P601" s="8">
        <v>46</v>
      </c>
      <c r="Q601" s="9">
        <v>22</v>
      </c>
      <c r="R601" s="17">
        <v>2</v>
      </c>
      <c r="S601" s="91">
        <f t="shared" si="245"/>
        <v>236</v>
      </c>
      <c r="T601" s="17">
        <f t="shared" si="246"/>
        <v>120</v>
      </c>
      <c r="U601" s="12">
        <v>102</v>
      </c>
      <c r="V601" s="16">
        <v>59</v>
      </c>
      <c r="W601" s="91">
        <f>I601+L601+O601+R601</f>
        <v>10</v>
      </c>
    </row>
    <row r="602" spans="1:24" ht="30" customHeight="1" x14ac:dyDescent="0.25">
      <c r="A602" s="145" t="s">
        <v>232</v>
      </c>
      <c r="B602" s="145">
        <v>68</v>
      </c>
      <c r="C602" s="11" t="s">
        <v>56</v>
      </c>
      <c r="D602" s="113" t="s">
        <v>187</v>
      </c>
      <c r="E602" s="11" t="s">
        <v>218</v>
      </c>
      <c r="F602" s="145" t="s">
        <v>105</v>
      </c>
      <c r="G602" s="146">
        <v>41</v>
      </c>
      <c r="H602" s="145">
        <v>14</v>
      </c>
      <c r="I602" s="145">
        <v>2</v>
      </c>
      <c r="J602" s="146">
        <f>33+10</f>
        <v>43</v>
      </c>
      <c r="K602" s="145">
        <f>18+4</f>
        <v>22</v>
      </c>
      <c r="L602" s="145">
        <v>2</v>
      </c>
      <c r="M602" s="146">
        <v>28</v>
      </c>
      <c r="N602" s="145">
        <v>12</v>
      </c>
      <c r="O602" s="145">
        <v>1</v>
      </c>
      <c r="P602" s="146">
        <v>42</v>
      </c>
      <c r="Q602" s="145">
        <v>21</v>
      </c>
      <c r="R602" s="145">
        <v>2</v>
      </c>
      <c r="S602" s="98">
        <f t="shared" si="245"/>
        <v>154</v>
      </c>
      <c r="T602" s="78">
        <f t="shared" si="246"/>
        <v>69</v>
      </c>
      <c r="U602" s="79">
        <v>7</v>
      </c>
      <c r="V602" s="22">
        <v>4</v>
      </c>
      <c r="W602" s="98">
        <f>I602+L602+O602+R602</f>
        <v>7</v>
      </c>
    </row>
    <row r="603" spans="1:24" s="111" customFormat="1" ht="30" customHeight="1" x14ac:dyDescent="0.25">
      <c r="A603" s="146" t="s">
        <v>232</v>
      </c>
      <c r="B603" s="133" t="s">
        <v>98</v>
      </c>
      <c r="C603" s="134"/>
      <c r="D603" s="134"/>
      <c r="E603" s="134"/>
      <c r="F603" s="132"/>
      <c r="G603" s="91">
        <f t="shared" ref="G603:R603" si="249">SUM(G597:G602)</f>
        <v>343</v>
      </c>
      <c r="H603" s="91">
        <f t="shared" si="249"/>
        <v>151</v>
      </c>
      <c r="I603" s="146">
        <f t="shared" si="249"/>
        <v>16.5</v>
      </c>
      <c r="J603" s="146">
        <f t="shared" si="249"/>
        <v>411</v>
      </c>
      <c r="K603" s="146">
        <f t="shared" si="249"/>
        <v>209</v>
      </c>
      <c r="L603" s="141">
        <f t="shared" si="249"/>
        <v>16.5</v>
      </c>
      <c r="M603" s="146">
        <f t="shared" si="249"/>
        <v>321</v>
      </c>
      <c r="N603" s="146">
        <f t="shared" si="249"/>
        <v>160</v>
      </c>
      <c r="O603" s="146">
        <f t="shared" si="249"/>
        <v>13</v>
      </c>
      <c r="P603" s="146">
        <f t="shared" si="249"/>
        <v>309</v>
      </c>
      <c r="Q603" s="146">
        <f t="shared" si="249"/>
        <v>148</v>
      </c>
      <c r="R603" s="146">
        <f t="shared" si="249"/>
        <v>14</v>
      </c>
      <c r="S603" s="128">
        <f t="shared" si="245"/>
        <v>1384</v>
      </c>
      <c r="T603" s="128">
        <f t="shared" si="246"/>
        <v>668</v>
      </c>
      <c r="U603" s="79">
        <f t="shared" ref="U603:W603" si="250">SUM(U597:U602)</f>
        <v>364</v>
      </c>
      <c r="V603" s="79">
        <f t="shared" si="250"/>
        <v>176</v>
      </c>
      <c r="W603" s="98">
        <f t="shared" si="250"/>
        <v>60</v>
      </c>
      <c r="X603" s="115"/>
    </row>
    <row r="604" spans="1:24" ht="30" customHeight="1" x14ac:dyDescent="0.25">
      <c r="A604" s="17" t="s">
        <v>232</v>
      </c>
      <c r="B604" s="17">
        <v>71</v>
      </c>
      <c r="C604" s="48" t="s">
        <v>71</v>
      </c>
      <c r="D604" s="113" t="s">
        <v>188</v>
      </c>
      <c r="E604" s="11" t="s">
        <v>39</v>
      </c>
      <c r="F604" s="145" t="s">
        <v>107</v>
      </c>
      <c r="G604" s="146">
        <v>54</v>
      </c>
      <c r="H604" s="145">
        <v>23</v>
      </c>
      <c r="I604" s="17">
        <v>2</v>
      </c>
      <c r="J604" s="91">
        <v>58</v>
      </c>
      <c r="K604" s="17">
        <v>28</v>
      </c>
      <c r="L604" s="17">
        <v>2</v>
      </c>
      <c r="M604" s="8">
        <v>73</v>
      </c>
      <c r="N604" s="9">
        <v>39</v>
      </c>
      <c r="O604" s="17">
        <v>3</v>
      </c>
      <c r="P604" s="8">
        <v>49</v>
      </c>
      <c r="Q604" s="9">
        <v>24</v>
      </c>
      <c r="R604" s="17">
        <v>2</v>
      </c>
      <c r="S604" s="91">
        <f t="shared" si="245"/>
        <v>234</v>
      </c>
      <c r="T604" s="17">
        <f t="shared" si="246"/>
        <v>114</v>
      </c>
      <c r="U604" s="12">
        <v>22</v>
      </c>
      <c r="V604" s="16">
        <v>9</v>
      </c>
      <c r="W604" s="91">
        <f>I604+L604+O604+R604</f>
        <v>9</v>
      </c>
    </row>
    <row r="605" spans="1:24" ht="30" customHeight="1" x14ac:dyDescent="0.25">
      <c r="A605" s="145" t="s">
        <v>232</v>
      </c>
      <c r="B605" s="145">
        <v>71</v>
      </c>
      <c r="C605" s="11" t="s">
        <v>71</v>
      </c>
      <c r="D605" s="113" t="s">
        <v>189</v>
      </c>
      <c r="E605" s="11" t="s">
        <v>28</v>
      </c>
      <c r="F605" s="145" t="s">
        <v>105</v>
      </c>
      <c r="G605" s="146">
        <v>27</v>
      </c>
      <c r="H605" s="145">
        <v>14</v>
      </c>
      <c r="I605" s="145">
        <v>1</v>
      </c>
      <c r="J605" s="146">
        <v>38</v>
      </c>
      <c r="K605" s="145">
        <v>17</v>
      </c>
      <c r="L605" s="145">
        <v>2</v>
      </c>
      <c r="M605" s="146">
        <v>29</v>
      </c>
      <c r="N605" s="145">
        <v>11</v>
      </c>
      <c r="O605" s="145">
        <v>1</v>
      </c>
      <c r="P605" s="146">
        <v>27</v>
      </c>
      <c r="Q605" s="145">
        <v>14</v>
      </c>
      <c r="R605" s="145">
        <v>1</v>
      </c>
      <c r="S605" s="91">
        <f t="shared" si="245"/>
        <v>121</v>
      </c>
      <c r="T605" s="17">
        <f t="shared" si="246"/>
        <v>56</v>
      </c>
      <c r="U605" s="79">
        <v>4</v>
      </c>
      <c r="V605" s="22">
        <v>0</v>
      </c>
      <c r="W605" s="91">
        <f>I605+L605+O605+R605</f>
        <v>5</v>
      </c>
    </row>
    <row r="606" spans="1:24" ht="30" customHeight="1" x14ac:dyDescent="0.25">
      <c r="A606" s="17" t="s">
        <v>232</v>
      </c>
      <c r="B606" s="17">
        <v>76</v>
      </c>
      <c r="C606" s="48" t="s">
        <v>78</v>
      </c>
      <c r="D606" s="113" t="s">
        <v>190</v>
      </c>
      <c r="E606" s="11" t="s">
        <v>224</v>
      </c>
      <c r="F606" s="145" t="s">
        <v>107</v>
      </c>
      <c r="G606" s="146">
        <v>21</v>
      </c>
      <c r="H606" s="145">
        <v>8</v>
      </c>
      <c r="I606" s="17">
        <v>1.5</v>
      </c>
      <c r="J606" s="91">
        <f>33+5</f>
        <v>38</v>
      </c>
      <c r="K606" s="17">
        <f>16+1</f>
        <v>17</v>
      </c>
      <c r="L606" s="17">
        <v>1.5</v>
      </c>
      <c r="M606" s="100">
        <v>35</v>
      </c>
      <c r="N606" s="9">
        <v>18</v>
      </c>
      <c r="O606" s="17">
        <v>1.5</v>
      </c>
      <c r="P606" s="8">
        <v>30</v>
      </c>
      <c r="Q606" s="9">
        <v>16</v>
      </c>
      <c r="R606" s="17">
        <v>1.5</v>
      </c>
      <c r="S606" s="91">
        <f t="shared" si="245"/>
        <v>124</v>
      </c>
      <c r="T606" s="17">
        <f t="shared" si="246"/>
        <v>59</v>
      </c>
      <c r="U606" s="12">
        <v>10</v>
      </c>
      <c r="V606" s="16">
        <v>6</v>
      </c>
      <c r="W606" s="91">
        <f>I606+L606+O606+R606</f>
        <v>6</v>
      </c>
    </row>
    <row r="607" spans="1:24" ht="30" customHeight="1" x14ac:dyDescent="0.25">
      <c r="A607" s="145" t="s">
        <v>232</v>
      </c>
      <c r="B607" s="145">
        <v>77</v>
      </c>
      <c r="C607" s="11" t="s">
        <v>59</v>
      </c>
      <c r="D607" s="113" t="s">
        <v>191</v>
      </c>
      <c r="E607" s="11" t="s">
        <v>20</v>
      </c>
      <c r="F607" s="145" t="s">
        <v>105</v>
      </c>
      <c r="G607" s="146">
        <v>48</v>
      </c>
      <c r="H607" s="145">
        <v>21</v>
      </c>
      <c r="I607" s="145">
        <v>2</v>
      </c>
      <c r="J607" s="146">
        <v>54</v>
      </c>
      <c r="K607" s="145">
        <v>23</v>
      </c>
      <c r="L607" s="145">
        <v>2</v>
      </c>
      <c r="M607" s="146">
        <v>49</v>
      </c>
      <c r="N607" s="145">
        <v>19</v>
      </c>
      <c r="O607" s="145">
        <v>2</v>
      </c>
      <c r="P607" s="146">
        <v>50</v>
      </c>
      <c r="Q607" s="145">
        <v>18</v>
      </c>
      <c r="R607" s="145">
        <v>2</v>
      </c>
      <c r="S607" s="98">
        <f t="shared" si="245"/>
        <v>201</v>
      </c>
      <c r="T607" s="78">
        <f t="shared" si="246"/>
        <v>81</v>
      </c>
      <c r="U607" s="79">
        <v>11</v>
      </c>
      <c r="V607" s="22">
        <v>6</v>
      </c>
      <c r="W607" s="98">
        <f>I607+L607+O607+R607</f>
        <v>8</v>
      </c>
    </row>
    <row r="608" spans="1:24" ht="30" customHeight="1" x14ac:dyDescent="0.25">
      <c r="A608" s="17" t="s">
        <v>232</v>
      </c>
      <c r="B608" s="17">
        <v>77</v>
      </c>
      <c r="C608" s="48" t="s">
        <v>59</v>
      </c>
      <c r="D608" s="113" t="s">
        <v>192</v>
      </c>
      <c r="E608" s="11" t="s">
        <v>40</v>
      </c>
      <c r="F608" s="145" t="s">
        <v>107</v>
      </c>
      <c r="G608" s="146">
        <v>48</v>
      </c>
      <c r="H608" s="145">
        <v>27</v>
      </c>
      <c r="I608" s="17">
        <v>2</v>
      </c>
      <c r="J608" s="91">
        <v>39</v>
      </c>
      <c r="K608" s="17">
        <v>24</v>
      </c>
      <c r="L608" s="17">
        <v>2</v>
      </c>
      <c r="M608" s="8">
        <v>47</v>
      </c>
      <c r="N608" s="9">
        <v>24</v>
      </c>
      <c r="O608" s="17">
        <v>2</v>
      </c>
      <c r="P608" s="8">
        <v>62</v>
      </c>
      <c r="Q608" s="9">
        <v>38</v>
      </c>
      <c r="R608" s="17">
        <v>3</v>
      </c>
      <c r="S608" s="91">
        <f t="shared" si="245"/>
        <v>196</v>
      </c>
      <c r="T608" s="17">
        <f t="shared" si="246"/>
        <v>113</v>
      </c>
      <c r="U608" s="12">
        <v>36</v>
      </c>
      <c r="V608" s="16">
        <v>17</v>
      </c>
      <c r="W608" s="91">
        <f>I608+L608+O608+R608</f>
        <v>9</v>
      </c>
    </row>
    <row r="609" spans="1:24" s="111" customFormat="1" ht="30" customHeight="1" x14ac:dyDescent="0.25">
      <c r="A609" s="146" t="s">
        <v>232</v>
      </c>
      <c r="B609" s="133" t="s">
        <v>97</v>
      </c>
      <c r="C609" s="134"/>
      <c r="D609" s="134"/>
      <c r="E609" s="134"/>
      <c r="F609" s="132"/>
      <c r="G609" s="91">
        <f t="shared" ref="G609:R609" si="251">SUM(G604:G608)</f>
        <v>198</v>
      </c>
      <c r="H609" s="91">
        <f t="shared" si="251"/>
        <v>93</v>
      </c>
      <c r="I609" s="146">
        <f t="shared" si="251"/>
        <v>8.5</v>
      </c>
      <c r="J609" s="146">
        <f t="shared" si="251"/>
        <v>227</v>
      </c>
      <c r="K609" s="146">
        <f t="shared" si="251"/>
        <v>109</v>
      </c>
      <c r="L609" s="140">
        <f t="shared" si="251"/>
        <v>9.5</v>
      </c>
      <c r="M609" s="146">
        <f t="shared" si="251"/>
        <v>233</v>
      </c>
      <c r="N609" s="146">
        <f t="shared" si="251"/>
        <v>111</v>
      </c>
      <c r="O609" s="146">
        <f t="shared" si="251"/>
        <v>9.5</v>
      </c>
      <c r="P609" s="146">
        <f t="shared" si="251"/>
        <v>218</v>
      </c>
      <c r="Q609" s="146">
        <f t="shared" si="251"/>
        <v>110</v>
      </c>
      <c r="R609" s="146">
        <f t="shared" si="251"/>
        <v>9.5</v>
      </c>
      <c r="S609" s="128">
        <f t="shared" si="245"/>
        <v>876</v>
      </c>
      <c r="T609" s="128">
        <f t="shared" si="246"/>
        <v>423</v>
      </c>
      <c r="U609" s="79">
        <f t="shared" ref="U609:W609" si="252">SUM(U604:U608)</f>
        <v>83</v>
      </c>
      <c r="V609" s="79">
        <f t="shared" si="252"/>
        <v>38</v>
      </c>
      <c r="W609" s="98">
        <f t="shared" si="252"/>
        <v>37</v>
      </c>
      <c r="X609" s="115"/>
    </row>
    <row r="610" spans="1:24" ht="30" customHeight="1" x14ac:dyDescent="0.25">
      <c r="A610" s="145" t="s">
        <v>232</v>
      </c>
      <c r="B610" s="145">
        <v>82</v>
      </c>
      <c r="C610" s="11" t="s">
        <v>58</v>
      </c>
      <c r="D610" s="113" t="s">
        <v>193</v>
      </c>
      <c r="E610" s="11" t="s">
        <v>19</v>
      </c>
      <c r="F610" s="145" t="s">
        <v>105</v>
      </c>
      <c r="G610" s="146">
        <v>90</v>
      </c>
      <c r="H610" s="145">
        <v>49</v>
      </c>
      <c r="I610" s="145">
        <v>4</v>
      </c>
      <c r="J610" s="146">
        <v>91</v>
      </c>
      <c r="K610" s="145">
        <v>49</v>
      </c>
      <c r="L610" s="145">
        <v>4</v>
      </c>
      <c r="M610" s="146">
        <v>76</v>
      </c>
      <c r="N610" s="145">
        <v>38</v>
      </c>
      <c r="O610" s="145">
        <v>3</v>
      </c>
      <c r="P610" s="146">
        <v>100</v>
      </c>
      <c r="Q610" s="145">
        <v>53</v>
      </c>
      <c r="R610" s="145">
        <v>4</v>
      </c>
      <c r="S610" s="98">
        <f t="shared" si="245"/>
        <v>357</v>
      </c>
      <c r="T610" s="78">
        <f t="shared" si="246"/>
        <v>189</v>
      </c>
      <c r="U610" s="79">
        <v>46</v>
      </c>
      <c r="V610" s="22">
        <v>24</v>
      </c>
      <c r="W610" s="98">
        <f>I610+L610+O610+R610</f>
        <v>15</v>
      </c>
    </row>
    <row r="611" spans="1:24" ht="46.5" customHeight="1" x14ac:dyDescent="0.25">
      <c r="A611" s="145" t="s">
        <v>232</v>
      </c>
      <c r="B611" s="145">
        <v>86</v>
      </c>
      <c r="C611" s="11" t="s">
        <v>49</v>
      </c>
      <c r="D611" s="113" t="s">
        <v>194</v>
      </c>
      <c r="E611" s="11" t="s">
        <v>219</v>
      </c>
      <c r="F611" s="145" t="s">
        <v>105</v>
      </c>
      <c r="G611" s="146">
        <v>41</v>
      </c>
      <c r="H611" s="145">
        <v>16</v>
      </c>
      <c r="I611" s="145">
        <v>2</v>
      </c>
      <c r="J611" s="146">
        <f>48+11</f>
        <v>59</v>
      </c>
      <c r="K611" s="145">
        <f>16+1</f>
        <v>17</v>
      </c>
      <c r="L611" s="145">
        <v>2</v>
      </c>
      <c r="M611" s="146">
        <v>36</v>
      </c>
      <c r="N611" s="145">
        <v>19</v>
      </c>
      <c r="O611" s="145">
        <v>2</v>
      </c>
      <c r="P611" s="146">
        <v>53</v>
      </c>
      <c r="Q611" s="145">
        <v>26</v>
      </c>
      <c r="R611" s="145">
        <v>2</v>
      </c>
      <c r="S611" s="98">
        <f t="shared" si="245"/>
        <v>189</v>
      </c>
      <c r="T611" s="78">
        <f t="shared" si="246"/>
        <v>78</v>
      </c>
      <c r="U611" s="79">
        <v>28</v>
      </c>
      <c r="V611" s="22">
        <v>12</v>
      </c>
      <c r="W611" s="98">
        <f>I611+L611+O611+R611</f>
        <v>8</v>
      </c>
    </row>
    <row r="612" spans="1:24" ht="30" customHeight="1" x14ac:dyDescent="0.25">
      <c r="A612" s="17" t="s">
        <v>232</v>
      </c>
      <c r="B612" s="17">
        <v>86</v>
      </c>
      <c r="C612" s="48" t="s">
        <v>49</v>
      </c>
      <c r="D612" s="113" t="s">
        <v>195</v>
      </c>
      <c r="E612" s="11" t="s">
        <v>37</v>
      </c>
      <c r="F612" s="145" t="s">
        <v>107</v>
      </c>
      <c r="G612" s="146">
        <v>64</v>
      </c>
      <c r="H612" s="145">
        <v>36</v>
      </c>
      <c r="I612" s="17">
        <v>3</v>
      </c>
      <c r="J612" s="91">
        <v>60</v>
      </c>
      <c r="K612" s="17">
        <v>28</v>
      </c>
      <c r="L612" s="17">
        <v>3</v>
      </c>
      <c r="M612" s="8">
        <v>51</v>
      </c>
      <c r="N612" s="9">
        <v>20</v>
      </c>
      <c r="O612" s="17">
        <v>2</v>
      </c>
      <c r="P612" s="8">
        <v>56</v>
      </c>
      <c r="Q612" s="9">
        <v>30</v>
      </c>
      <c r="R612" s="17">
        <v>3</v>
      </c>
      <c r="S612" s="91">
        <f t="shared" si="245"/>
        <v>231</v>
      </c>
      <c r="T612" s="17">
        <f t="shared" si="246"/>
        <v>114</v>
      </c>
      <c r="U612" s="12">
        <v>72</v>
      </c>
      <c r="V612" s="16">
        <v>37</v>
      </c>
      <c r="W612" s="91">
        <f>I612+L612+O612+R612</f>
        <v>11</v>
      </c>
    </row>
    <row r="613" spans="1:24" ht="30" customHeight="1" x14ac:dyDescent="0.25">
      <c r="A613" s="145" t="s">
        <v>232</v>
      </c>
      <c r="B613" s="145">
        <v>87</v>
      </c>
      <c r="C613" s="11" t="s">
        <v>68</v>
      </c>
      <c r="D613" s="113" t="s">
        <v>196</v>
      </c>
      <c r="E613" s="11" t="s">
        <v>132</v>
      </c>
      <c r="F613" s="145" t="s">
        <v>105</v>
      </c>
      <c r="G613" s="146">
        <v>77</v>
      </c>
      <c r="H613" s="145">
        <v>44</v>
      </c>
      <c r="I613" s="145">
        <v>3</v>
      </c>
      <c r="J613" s="146">
        <v>72</v>
      </c>
      <c r="K613" s="145">
        <v>39</v>
      </c>
      <c r="L613" s="145">
        <v>3</v>
      </c>
      <c r="M613" s="146">
        <v>100</v>
      </c>
      <c r="N613" s="145">
        <v>45</v>
      </c>
      <c r="O613" s="145">
        <v>4</v>
      </c>
      <c r="P613" s="146">
        <v>108</v>
      </c>
      <c r="Q613" s="145">
        <v>52</v>
      </c>
      <c r="R613" s="145">
        <v>4</v>
      </c>
      <c r="S613" s="98">
        <f t="shared" si="245"/>
        <v>357</v>
      </c>
      <c r="T613" s="78">
        <f t="shared" si="246"/>
        <v>180</v>
      </c>
      <c r="U613" s="79">
        <v>38</v>
      </c>
      <c r="V613" s="22">
        <v>18</v>
      </c>
      <c r="W613" s="98">
        <f>I613+L613+O613+R613</f>
        <v>14</v>
      </c>
    </row>
    <row r="614" spans="1:24" ht="30" customHeight="1" x14ac:dyDescent="0.25">
      <c r="A614" s="145" t="s">
        <v>232</v>
      </c>
      <c r="B614" s="17">
        <v>87</v>
      </c>
      <c r="C614" s="48" t="s">
        <v>68</v>
      </c>
      <c r="D614" s="113" t="s">
        <v>225</v>
      </c>
      <c r="E614" s="54" t="s">
        <v>233</v>
      </c>
      <c r="F614" s="145" t="s">
        <v>107</v>
      </c>
      <c r="G614" s="79">
        <v>47</v>
      </c>
      <c r="H614" s="22">
        <v>18</v>
      </c>
      <c r="I614" s="22">
        <v>2</v>
      </c>
      <c r="J614" s="146">
        <v>56</v>
      </c>
      <c r="K614" s="145">
        <v>22</v>
      </c>
      <c r="L614" s="145">
        <v>2</v>
      </c>
      <c r="M614" s="344"/>
      <c r="N614" s="344"/>
      <c r="O614" s="344"/>
      <c r="P614" s="344"/>
      <c r="Q614" s="344"/>
      <c r="R614" s="344"/>
      <c r="S614" s="98">
        <f t="shared" si="245"/>
        <v>103</v>
      </c>
      <c r="T614" s="78">
        <f t="shared" si="246"/>
        <v>40</v>
      </c>
      <c r="U614" s="12">
        <v>2</v>
      </c>
      <c r="V614" s="16">
        <v>2</v>
      </c>
      <c r="W614" s="98">
        <f>I614+L614+O614+R614</f>
        <v>4</v>
      </c>
    </row>
    <row r="615" spans="1:24" s="111" customFormat="1" ht="30" customHeight="1" x14ac:dyDescent="0.25">
      <c r="A615" s="146" t="s">
        <v>232</v>
      </c>
      <c r="B615" s="133" t="s">
        <v>99</v>
      </c>
      <c r="C615" s="134"/>
      <c r="D615" s="134"/>
      <c r="E615" s="134"/>
      <c r="F615" s="132"/>
      <c r="G615" s="91">
        <f t="shared" ref="G615:L615" si="253">SUM(G610:G614)</f>
        <v>319</v>
      </c>
      <c r="H615" s="91">
        <f t="shared" si="253"/>
        <v>163</v>
      </c>
      <c r="I615" s="146">
        <f t="shared" si="253"/>
        <v>14</v>
      </c>
      <c r="J615" s="146">
        <f t="shared" si="253"/>
        <v>338</v>
      </c>
      <c r="K615" s="146">
        <f t="shared" si="253"/>
        <v>155</v>
      </c>
      <c r="L615" s="140">
        <f t="shared" si="253"/>
        <v>14</v>
      </c>
      <c r="M615" s="146">
        <f t="shared" ref="M615:R615" si="254">SUM(M610:M613)</f>
        <v>263</v>
      </c>
      <c r="N615" s="146">
        <f t="shared" si="254"/>
        <v>122</v>
      </c>
      <c r="O615" s="146">
        <f t="shared" si="254"/>
        <v>11</v>
      </c>
      <c r="P615" s="146">
        <f t="shared" si="254"/>
        <v>317</v>
      </c>
      <c r="Q615" s="146">
        <f t="shared" si="254"/>
        <v>161</v>
      </c>
      <c r="R615" s="146">
        <f t="shared" si="254"/>
        <v>13</v>
      </c>
      <c r="S615" s="128">
        <f t="shared" si="245"/>
        <v>1237</v>
      </c>
      <c r="T615" s="128">
        <f t="shared" si="246"/>
        <v>601</v>
      </c>
      <c r="U615" s="79">
        <f>SUM(U610:U614)</f>
        <v>186</v>
      </c>
      <c r="V615" s="79">
        <f>SUM(V610:V614)</f>
        <v>93</v>
      </c>
      <c r="W615" s="98">
        <f>SUM(W610:W614)</f>
        <v>52</v>
      </c>
      <c r="X615" s="115"/>
    </row>
    <row r="616" spans="1:24" ht="30" customHeight="1" x14ac:dyDescent="0.25">
      <c r="A616" s="145" t="s">
        <v>232</v>
      </c>
      <c r="B616" s="145">
        <v>95</v>
      </c>
      <c r="C616" s="11" t="s">
        <v>62</v>
      </c>
      <c r="D616" s="113" t="s">
        <v>226</v>
      </c>
      <c r="E616" s="11" t="s">
        <v>22</v>
      </c>
      <c r="F616" s="145" t="s">
        <v>105</v>
      </c>
      <c r="G616" s="146">
        <v>52</v>
      </c>
      <c r="H616" s="145">
        <v>27</v>
      </c>
      <c r="I616" s="145">
        <v>2</v>
      </c>
      <c r="J616" s="146">
        <v>57</v>
      </c>
      <c r="K616" s="145">
        <v>29</v>
      </c>
      <c r="L616" s="145">
        <v>2</v>
      </c>
      <c r="M616" s="146">
        <v>42</v>
      </c>
      <c r="N616" s="145">
        <v>24</v>
      </c>
      <c r="O616" s="145">
        <v>2</v>
      </c>
      <c r="P616" s="146">
        <v>47</v>
      </c>
      <c r="Q616" s="145">
        <v>22</v>
      </c>
      <c r="R616" s="145">
        <v>2</v>
      </c>
      <c r="S616" s="98">
        <f t="shared" si="245"/>
        <v>198</v>
      </c>
      <c r="T616" s="78">
        <f t="shared" si="246"/>
        <v>102</v>
      </c>
      <c r="U616" s="79">
        <v>8</v>
      </c>
      <c r="V616" s="22">
        <v>4</v>
      </c>
      <c r="W616" s="98">
        <f>I616+L616+O616+R616</f>
        <v>8</v>
      </c>
    </row>
    <row r="617" spans="1:24" ht="30" customHeight="1" x14ac:dyDescent="0.25">
      <c r="A617" s="145" t="s">
        <v>232</v>
      </c>
      <c r="B617" s="145">
        <v>96</v>
      </c>
      <c r="C617" s="11" t="s">
        <v>51</v>
      </c>
      <c r="D617" s="113" t="s">
        <v>227</v>
      </c>
      <c r="E617" s="11" t="s">
        <v>213</v>
      </c>
      <c r="F617" s="145" t="s">
        <v>105</v>
      </c>
      <c r="G617" s="146">
        <v>27</v>
      </c>
      <c r="H617" s="145">
        <v>17</v>
      </c>
      <c r="I617" s="145">
        <v>1.5</v>
      </c>
      <c r="J617" s="146">
        <f>32+5</f>
        <v>37</v>
      </c>
      <c r="K617" s="145">
        <f>14+2</f>
        <v>16</v>
      </c>
      <c r="L617" s="145">
        <v>1.5</v>
      </c>
      <c r="M617" s="146">
        <v>29</v>
      </c>
      <c r="N617" s="145">
        <v>9</v>
      </c>
      <c r="O617" s="145">
        <v>1</v>
      </c>
      <c r="P617" s="146">
        <v>20</v>
      </c>
      <c r="Q617" s="145">
        <v>11</v>
      </c>
      <c r="R617" s="145">
        <v>1</v>
      </c>
      <c r="S617" s="98">
        <f t="shared" si="245"/>
        <v>113</v>
      </c>
      <c r="T617" s="78">
        <f t="shared" si="246"/>
        <v>53</v>
      </c>
      <c r="U617" s="79">
        <v>20</v>
      </c>
      <c r="V617" s="22">
        <v>7</v>
      </c>
      <c r="W617" s="98">
        <f>I617+L617+O617+R617</f>
        <v>5</v>
      </c>
    </row>
    <row r="618" spans="1:24" ht="30" customHeight="1" x14ac:dyDescent="0.25">
      <c r="A618" s="17" t="s">
        <v>232</v>
      </c>
      <c r="B618" s="17">
        <v>96</v>
      </c>
      <c r="C618" s="48" t="s">
        <v>51</v>
      </c>
      <c r="D618" s="113" t="s">
        <v>228</v>
      </c>
      <c r="E618" s="11" t="s">
        <v>42</v>
      </c>
      <c r="F618" s="145" t="s">
        <v>107</v>
      </c>
      <c r="G618" s="146">
        <v>47</v>
      </c>
      <c r="H618" s="145">
        <v>29</v>
      </c>
      <c r="I618" s="17">
        <v>2</v>
      </c>
      <c r="J618" s="91">
        <v>55</v>
      </c>
      <c r="K618" s="17">
        <v>30</v>
      </c>
      <c r="L618" s="17">
        <v>2</v>
      </c>
      <c r="M618" s="8">
        <v>56</v>
      </c>
      <c r="N618" s="9">
        <v>33</v>
      </c>
      <c r="O618" s="17">
        <v>2</v>
      </c>
      <c r="P618" s="8">
        <v>65</v>
      </c>
      <c r="Q618" s="9">
        <v>32</v>
      </c>
      <c r="R618" s="17">
        <v>3</v>
      </c>
      <c r="S618" s="91">
        <f t="shared" si="245"/>
        <v>223</v>
      </c>
      <c r="T618" s="17">
        <f t="shared" si="246"/>
        <v>124</v>
      </c>
      <c r="U618" s="12">
        <v>25</v>
      </c>
      <c r="V618" s="16">
        <v>15</v>
      </c>
      <c r="W618" s="91">
        <f>I618+L618+O618+R618</f>
        <v>9</v>
      </c>
    </row>
    <row r="619" spans="1:24" ht="30" customHeight="1" x14ac:dyDescent="0.25">
      <c r="A619" s="145" t="s">
        <v>232</v>
      </c>
      <c r="B619" s="145">
        <v>97</v>
      </c>
      <c r="C619" s="11" t="s">
        <v>61</v>
      </c>
      <c r="D619" s="113" t="s">
        <v>229</v>
      </c>
      <c r="E619" s="11" t="s">
        <v>235</v>
      </c>
      <c r="F619" s="145" t="s">
        <v>105</v>
      </c>
      <c r="G619" s="146">
        <v>103</v>
      </c>
      <c r="H619" s="145">
        <v>49</v>
      </c>
      <c r="I619" s="145">
        <v>4</v>
      </c>
      <c r="J619" s="146">
        <v>116</v>
      </c>
      <c r="K619" s="145">
        <v>56</v>
      </c>
      <c r="L619" s="145">
        <v>4</v>
      </c>
      <c r="M619" s="146">
        <v>87</v>
      </c>
      <c r="N619" s="145">
        <v>38</v>
      </c>
      <c r="O619" s="145">
        <v>4</v>
      </c>
      <c r="P619" s="146">
        <v>98</v>
      </c>
      <c r="Q619" s="145">
        <v>43</v>
      </c>
      <c r="R619" s="145">
        <v>4</v>
      </c>
      <c r="S619" s="91">
        <f t="shared" si="245"/>
        <v>404</v>
      </c>
      <c r="T619" s="78">
        <f t="shared" si="246"/>
        <v>186</v>
      </c>
      <c r="U619" s="79">
        <v>24</v>
      </c>
      <c r="V619" s="22">
        <v>10</v>
      </c>
      <c r="W619" s="98">
        <f>I619+L619+O619+R619</f>
        <v>16</v>
      </c>
    </row>
    <row r="620" spans="1:24" ht="30" customHeight="1" x14ac:dyDescent="0.25">
      <c r="A620" s="17"/>
      <c r="B620" s="145">
        <v>97</v>
      </c>
      <c r="C620" s="11" t="s">
        <v>61</v>
      </c>
      <c r="D620" s="113" t="s">
        <v>229</v>
      </c>
      <c r="E620" s="11" t="s">
        <v>238</v>
      </c>
      <c r="F620" s="145" t="s">
        <v>105</v>
      </c>
      <c r="G620" s="146">
        <v>107</v>
      </c>
      <c r="H620" s="145">
        <v>52</v>
      </c>
      <c r="I620" s="145">
        <v>4</v>
      </c>
      <c r="J620" s="146">
        <v>108</v>
      </c>
      <c r="K620" s="145">
        <v>59</v>
      </c>
      <c r="L620" s="145">
        <v>4</v>
      </c>
      <c r="M620" s="146">
        <v>101</v>
      </c>
      <c r="N620" s="145">
        <v>47</v>
      </c>
      <c r="O620" s="145">
        <v>4</v>
      </c>
      <c r="P620" s="146">
        <v>105</v>
      </c>
      <c r="Q620" s="145">
        <v>53</v>
      </c>
      <c r="R620" s="145">
        <v>4</v>
      </c>
      <c r="S620" s="91">
        <f t="shared" ref="S620" si="255">G620+J620+M620+P620</f>
        <v>421</v>
      </c>
      <c r="T620" s="78">
        <f t="shared" ref="T620" si="256">H620+K620+N620+Q620</f>
        <v>211</v>
      </c>
      <c r="U620" s="79">
        <v>33</v>
      </c>
      <c r="V620" s="22">
        <v>16</v>
      </c>
      <c r="W620" s="98">
        <f>I620+L620+O620+R620</f>
        <v>16</v>
      </c>
    </row>
    <row r="621" spans="1:24" ht="30" customHeight="1" x14ac:dyDescent="0.25">
      <c r="A621" s="145" t="s">
        <v>232</v>
      </c>
      <c r="B621" s="145">
        <v>98</v>
      </c>
      <c r="C621" s="11" t="s">
        <v>52</v>
      </c>
      <c r="D621" s="113" t="s">
        <v>230</v>
      </c>
      <c r="E621" s="11" t="s">
        <v>14</v>
      </c>
      <c r="F621" s="145" t="s">
        <v>105</v>
      </c>
      <c r="G621" s="146">
        <v>60</v>
      </c>
      <c r="H621" s="145">
        <v>33</v>
      </c>
      <c r="I621" s="145">
        <v>3</v>
      </c>
      <c r="J621" s="146">
        <v>42</v>
      </c>
      <c r="K621" s="145">
        <v>24</v>
      </c>
      <c r="L621" s="145">
        <v>2</v>
      </c>
      <c r="M621" s="146">
        <v>73</v>
      </c>
      <c r="N621" s="145">
        <v>34</v>
      </c>
      <c r="O621" s="145">
        <v>3</v>
      </c>
      <c r="P621" s="146">
        <v>69</v>
      </c>
      <c r="Q621" s="145">
        <v>37</v>
      </c>
      <c r="R621" s="145">
        <v>3</v>
      </c>
      <c r="S621" s="98">
        <f t="shared" si="245"/>
        <v>244</v>
      </c>
      <c r="T621" s="78">
        <f t="shared" si="246"/>
        <v>128</v>
      </c>
      <c r="U621" s="79">
        <v>27</v>
      </c>
      <c r="V621" s="22">
        <v>11</v>
      </c>
      <c r="W621" s="98">
        <f>I621+L621+O621+R621</f>
        <v>11</v>
      </c>
    </row>
    <row r="622" spans="1:24" ht="30" customHeight="1" x14ac:dyDescent="0.25">
      <c r="A622" s="145" t="s">
        <v>232</v>
      </c>
      <c r="B622" s="145">
        <v>98</v>
      </c>
      <c r="C622" s="11" t="s">
        <v>52</v>
      </c>
      <c r="D622" s="113" t="s">
        <v>231</v>
      </c>
      <c r="E622" s="11" t="s">
        <v>16</v>
      </c>
      <c r="F622" s="145" t="s">
        <v>105</v>
      </c>
      <c r="G622" s="146">
        <v>24</v>
      </c>
      <c r="H622" s="145">
        <v>9</v>
      </c>
      <c r="I622" s="145">
        <v>1</v>
      </c>
      <c r="J622" s="146">
        <v>28</v>
      </c>
      <c r="K622" s="145">
        <v>18</v>
      </c>
      <c r="L622" s="145">
        <v>1</v>
      </c>
      <c r="M622" s="146">
        <v>28</v>
      </c>
      <c r="N622" s="145">
        <v>12</v>
      </c>
      <c r="O622" s="145">
        <v>1</v>
      </c>
      <c r="P622" s="146">
        <v>17</v>
      </c>
      <c r="Q622" s="145">
        <v>5</v>
      </c>
      <c r="R622" s="145">
        <v>1</v>
      </c>
      <c r="S622" s="98">
        <f t="shared" si="245"/>
        <v>97</v>
      </c>
      <c r="T622" s="78">
        <f t="shared" si="246"/>
        <v>44</v>
      </c>
      <c r="U622" s="79">
        <v>1</v>
      </c>
      <c r="V622" s="22">
        <v>1</v>
      </c>
      <c r="W622" s="98">
        <f>I622+L622+O622+R622</f>
        <v>4</v>
      </c>
    </row>
    <row r="623" spans="1:24" s="111" customFormat="1" ht="30" customHeight="1" x14ac:dyDescent="0.25">
      <c r="A623" s="146" t="s">
        <v>232</v>
      </c>
      <c r="B623" s="126" t="s">
        <v>236</v>
      </c>
      <c r="C623" s="133"/>
      <c r="D623" s="134"/>
      <c r="E623" s="134"/>
      <c r="F623" s="132"/>
      <c r="G623" s="91">
        <f t="shared" ref="G623:W623" si="257">G616+G617+G618+G619+G621+G622</f>
        <v>313</v>
      </c>
      <c r="H623" s="91">
        <f t="shared" si="257"/>
        <v>164</v>
      </c>
      <c r="I623" s="146">
        <f t="shared" si="257"/>
        <v>13.5</v>
      </c>
      <c r="J623" s="146">
        <f t="shared" si="257"/>
        <v>335</v>
      </c>
      <c r="K623" s="146">
        <f t="shared" si="257"/>
        <v>173</v>
      </c>
      <c r="L623" s="141">
        <f t="shared" si="257"/>
        <v>12.5</v>
      </c>
      <c r="M623" s="146">
        <f t="shared" si="257"/>
        <v>315</v>
      </c>
      <c r="N623" s="146">
        <f t="shared" si="257"/>
        <v>150</v>
      </c>
      <c r="O623" s="146">
        <f t="shared" si="257"/>
        <v>13</v>
      </c>
      <c r="P623" s="146">
        <f t="shared" si="257"/>
        <v>316</v>
      </c>
      <c r="Q623" s="146">
        <f t="shared" si="257"/>
        <v>150</v>
      </c>
      <c r="R623" s="146">
        <f t="shared" si="257"/>
        <v>14</v>
      </c>
      <c r="S623" s="128">
        <f t="shared" si="257"/>
        <v>1279</v>
      </c>
      <c r="T623" s="128">
        <f t="shared" si="257"/>
        <v>637</v>
      </c>
      <c r="U623" s="128">
        <f t="shared" si="257"/>
        <v>105</v>
      </c>
      <c r="V623" s="128">
        <f t="shared" si="257"/>
        <v>48</v>
      </c>
      <c r="W623" s="98">
        <f t="shared" si="257"/>
        <v>53</v>
      </c>
      <c r="X623" s="115"/>
    </row>
    <row r="624" spans="1:24" s="111" customFormat="1" ht="30" customHeight="1" x14ac:dyDescent="0.25">
      <c r="A624" s="146" t="s">
        <v>232</v>
      </c>
      <c r="B624" s="126" t="s">
        <v>239</v>
      </c>
      <c r="C624" s="133"/>
      <c r="D624" s="134"/>
      <c r="E624" s="134"/>
      <c r="F624" s="132"/>
      <c r="G624" s="91">
        <f t="shared" ref="G624:W624" si="258">G616+G617+G618+G620+G621+G622</f>
        <v>317</v>
      </c>
      <c r="H624" s="91">
        <f t="shared" si="258"/>
        <v>167</v>
      </c>
      <c r="I624" s="91">
        <f t="shared" si="258"/>
        <v>13.5</v>
      </c>
      <c r="J624" s="91">
        <f t="shared" si="258"/>
        <v>327</v>
      </c>
      <c r="K624" s="91">
        <f t="shared" si="258"/>
        <v>176</v>
      </c>
      <c r="L624" s="91">
        <f t="shared" si="258"/>
        <v>12.5</v>
      </c>
      <c r="M624" s="91">
        <f t="shared" si="258"/>
        <v>329</v>
      </c>
      <c r="N624" s="91">
        <f t="shared" si="258"/>
        <v>159</v>
      </c>
      <c r="O624" s="143">
        <f t="shared" si="258"/>
        <v>13</v>
      </c>
      <c r="P624" s="91">
        <f t="shared" si="258"/>
        <v>323</v>
      </c>
      <c r="Q624" s="91">
        <f t="shared" si="258"/>
        <v>160</v>
      </c>
      <c r="R624" s="143">
        <f t="shared" si="258"/>
        <v>14</v>
      </c>
      <c r="S624" s="8">
        <f t="shared" si="258"/>
        <v>1296</v>
      </c>
      <c r="T624" s="91">
        <f t="shared" si="258"/>
        <v>662</v>
      </c>
      <c r="U624" s="91">
        <f t="shared" si="258"/>
        <v>114</v>
      </c>
      <c r="V624" s="91">
        <f t="shared" si="258"/>
        <v>54</v>
      </c>
      <c r="W624" s="91">
        <f t="shared" si="258"/>
        <v>53</v>
      </c>
      <c r="X624" s="115"/>
    </row>
    <row r="625" spans="1:24" s="111" customFormat="1" ht="30" customHeight="1" x14ac:dyDescent="0.25">
      <c r="A625" s="146" t="s">
        <v>232</v>
      </c>
      <c r="B625" s="342" t="s">
        <v>237</v>
      </c>
      <c r="C625" s="342"/>
      <c r="D625" s="342"/>
      <c r="E625" s="342"/>
      <c r="F625" s="343"/>
      <c r="G625" s="128">
        <f t="shared" ref="G625:W625" si="259">G587+G596+G603+G609+G615+G623</f>
        <v>2444</v>
      </c>
      <c r="H625" s="128">
        <f t="shared" si="259"/>
        <v>1182</v>
      </c>
      <c r="I625" s="142">
        <f t="shared" si="259"/>
        <v>108.25</v>
      </c>
      <c r="J625" s="128">
        <f t="shared" si="259"/>
        <v>2685</v>
      </c>
      <c r="K625" s="128">
        <f t="shared" si="259"/>
        <v>1310</v>
      </c>
      <c r="L625" s="142">
        <f t="shared" si="259"/>
        <v>108.25</v>
      </c>
      <c r="M625" s="128">
        <f t="shared" si="259"/>
        <v>2399</v>
      </c>
      <c r="N625" s="128">
        <f t="shared" si="259"/>
        <v>1190</v>
      </c>
      <c r="O625" s="142">
        <f t="shared" si="259"/>
        <v>100.25</v>
      </c>
      <c r="P625" s="128">
        <f t="shared" si="259"/>
        <v>2454</v>
      </c>
      <c r="Q625" s="128">
        <f t="shared" si="259"/>
        <v>1181</v>
      </c>
      <c r="R625" s="142">
        <f t="shared" si="259"/>
        <v>105.25</v>
      </c>
      <c r="S625" s="128">
        <f t="shared" si="259"/>
        <v>9982</v>
      </c>
      <c r="T625" s="128">
        <f t="shared" si="259"/>
        <v>4863</v>
      </c>
      <c r="U625" s="128">
        <f t="shared" si="259"/>
        <v>1332</v>
      </c>
      <c r="V625" s="128">
        <f t="shared" si="259"/>
        <v>644</v>
      </c>
      <c r="W625" s="128">
        <f t="shared" si="259"/>
        <v>422</v>
      </c>
      <c r="X625" s="115"/>
    </row>
    <row r="626" spans="1:24" s="111" customFormat="1" ht="30" customHeight="1" x14ac:dyDescent="0.25">
      <c r="A626" s="146" t="s">
        <v>232</v>
      </c>
      <c r="B626" s="342" t="s">
        <v>240</v>
      </c>
      <c r="C626" s="342"/>
      <c r="D626" s="342"/>
      <c r="E626" s="342"/>
      <c r="F626" s="343"/>
      <c r="G626" s="128">
        <f t="shared" ref="G626:W626" si="260">G587+G596+G603+G609+G615+G624</f>
        <v>2448</v>
      </c>
      <c r="H626" s="128">
        <f t="shared" si="260"/>
        <v>1185</v>
      </c>
      <c r="I626" s="142">
        <f t="shared" si="260"/>
        <v>108.25</v>
      </c>
      <c r="J626" s="128">
        <f t="shared" si="260"/>
        <v>2677</v>
      </c>
      <c r="K626" s="128">
        <f t="shared" si="260"/>
        <v>1313</v>
      </c>
      <c r="L626" s="142">
        <f t="shared" si="260"/>
        <v>108.25</v>
      </c>
      <c r="M626" s="128">
        <f t="shared" si="260"/>
        <v>2413</v>
      </c>
      <c r="N626" s="128">
        <f t="shared" si="260"/>
        <v>1199</v>
      </c>
      <c r="O626" s="142">
        <f t="shared" si="260"/>
        <v>100.25</v>
      </c>
      <c r="P626" s="128">
        <f t="shared" si="260"/>
        <v>2461</v>
      </c>
      <c r="Q626" s="128">
        <f t="shared" si="260"/>
        <v>1191</v>
      </c>
      <c r="R626" s="142">
        <f t="shared" si="260"/>
        <v>105.25</v>
      </c>
      <c r="S626" s="128">
        <f t="shared" si="260"/>
        <v>9999</v>
      </c>
      <c r="T626" s="128">
        <f t="shared" si="260"/>
        <v>4888</v>
      </c>
      <c r="U626" s="128">
        <f t="shared" si="260"/>
        <v>1341</v>
      </c>
      <c r="V626" s="128">
        <f t="shared" si="260"/>
        <v>650</v>
      </c>
      <c r="W626" s="128">
        <f t="shared" si="260"/>
        <v>422</v>
      </c>
      <c r="X626" s="115"/>
    </row>
    <row r="627" spans="1:24" ht="35.4" x14ac:dyDescent="0.25">
      <c r="A627" s="145" t="s">
        <v>241</v>
      </c>
      <c r="B627" s="145">
        <v>11</v>
      </c>
      <c r="C627" s="11" t="s">
        <v>48</v>
      </c>
      <c r="D627" s="113" t="s">
        <v>159</v>
      </c>
      <c r="E627" s="11" t="s">
        <v>245</v>
      </c>
      <c r="F627" s="145" t="s">
        <v>105</v>
      </c>
      <c r="G627" s="79">
        <v>33</v>
      </c>
      <c r="H627" s="145">
        <v>16</v>
      </c>
      <c r="I627" s="145">
        <v>1.25</v>
      </c>
      <c r="J627" s="146">
        <v>30</v>
      </c>
      <c r="K627" s="145">
        <v>14</v>
      </c>
      <c r="L627" s="145">
        <v>1.25</v>
      </c>
      <c r="M627" s="146">
        <v>32</v>
      </c>
      <c r="N627" s="145">
        <v>16</v>
      </c>
      <c r="O627" s="145">
        <v>1.25</v>
      </c>
      <c r="P627" s="146">
        <v>22</v>
      </c>
      <c r="Q627" s="145">
        <v>13</v>
      </c>
      <c r="R627" s="145">
        <v>1.25</v>
      </c>
      <c r="S627" s="98">
        <f t="shared" ref="S627:S628" si="261">G627+J627+M627+P627</f>
        <v>117</v>
      </c>
      <c r="T627" s="78">
        <f t="shared" ref="T627:T628" si="262">H627+K627+N627+Q627</f>
        <v>59</v>
      </c>
      <c r="U627" s="79">
        <v>3</v>
      </c>
      <c r="V627" s="22">
        <v>2</v>
      </c>
      <c r="W627" s="98">
        <f>I627+L627+O627+R627</f>
        <v>5</v>
      </c>
    </row>
    <row r="628" spans="1:24" ht="30" customHeight="1" x14ac:dyDescent="0.25">
      <c r="A628" s="155" t="s">
        <v>241</v>
      </c>
      <c r="B628" s="145">
        <v>15</v>
      </c>
      <c r="C628" s="11" t="s">
        <v>64</v>
      </c>
      <c r="D628" s="113" t="s">
        <v>160</v>
      </c>
      <c r="E628" s="11" t="s">
        <v>24</v>
      </c>
      <c r="F628" s="145" t="s">
        <v>105</v>
      </c>
      <c r="G628" s="79">
        <v>37</v>
      </c>
      <c r="H628" s="22">
        <v>22</v>
      </c>
      <c r="I628" s="145">
        <v>2</v>
      </c>
      <c r="J628" s="146">
        <f>39+6</f>
        <v>45</v>
      </c>
      <c r="K628" s="145">
        <f>15+1</f>
        <v>16</v>
      </c>
      <c r="L628" s="145">
        <v>2</v>
      </c>
      <c r="M628" s="146">
        <v>41</v>
      </c>
      <c r="N628" s="145">
        <v>18</v>
      </c>
      <c r="O628" s="145">
        <v>2</v>
      </c>
      <c r="P628" s="146">
        <v>28</v>
      </c>
      <c r="Q628" s="145">
        <v>18</v>
      </c>
      <c r="R628" s="145">
        <v>1</v>
      </c>
      <c r="S628" s="98">
        <f t="shared" si="261"/>
        <v>151</v>
      </c>
      <c r="T628" s="78">
        <f t="shared" si="262"/>
        <v>74</v>
      </c>
      <c r="U628" s="79">
        <v>16</v>
      </c>
      <c r="V628" s="22">
        <v>4</v>
      </c>
      <c r="W628" s="98">
        <f>I628+L628+O628+R628</f>
        <v>7</v>
      </c>
    </row>
    <row r="629" spans="1:24" s="111" customFormat="1" ht="30" customHeight="1" x14ac:dyDescent="0.25">
      <c r="A629" s="146" t="s">
        <v>241</v>
      </c>
      <c r="B629" s="144" t="s">
        <v>92</v>
      </c>
      <c r="C629" s="126"/>
      <c r="D629" s="127"/>
      <c r="E629" s="131"/>
      <c r="F629" s="130"/>
      <c r="G629" s="12">
        <f t="shared" ref="G629:I629" si="263">G627+G628</f>
        <v>70</v>
      </c>
      <c r="H629" s="91">
        <f t="shared" si="263"/>
        <v>38</v>
      </c>
      <c r="I629" s="146">
        <f t="shared" si="263"/>
        <v>3.25</v>
      </c>
      <c r="J629" s="146">
        <f>SUM(J627:J628)</f>
        <v>75</v>
      </c>
      <c r="K629" s="146">
        <f t="shared" ref="K629:L629" si="264">SUM(K627:K628)</f>
        <v>30</v>
      </c>
      <c r="L629" s="146">
        <f t="shared" si="264"/>
        <v>3.25</v>
      </c>
      <c r="M629" s="146">
        <f t="shared" ref="M629:W629" si="265">SUM(M627:M628)</f>
        <v>73</v>
      </c>
      <c r="N629" s="146">
        <f t="shared" si="265"/>
        <v>34</v>
      </c>
      <c r="O629" s="146">
        <f t="shared" si="265"/>
        <v>3.25</v>
      </c>
      <c r="P629" s="146">
        <f t="shared" si="265"/>
        <v>50</v>
      </c>
      <c r="Q629" s="146">
        <f t="shared" si="265"/>
        <v>31</v>
      </c>
      <c r="R629" s="146">
        <f t="shared" si="265"/>
        <v>2.25</v>
      </c>
      <c r="S629" s="98">
        <f t="shared" si="265"/>
        <v>268</v>
      </c>
      <c r="T629" s="98">
        <f t="shared" si="265"/>
        <v>133</v>
      </c>
      <c r="U629" s="98">
        <f t="shared" si="265"/>
        <v>19</v>
      </c>
      <c r="V629" s="98">
        <f t="shared" si="265"/>
        <v>6</v>
      </c>
      <c r="W629" s="98">
        <f t="shared" si="265"/>
        <v>12</v>
      </c>
      <c r="X629" s="115"/>
    </row>
    <row r="630" spans="1:24" ht="30" customHeight="1" x14ac:dyDescent="0.25">
      <c r="A630" s="17" t="s">
        <v>241</v>
      </c>
      <c r="B630" s="17">
        <v>22</v>
      </c>
      <c r="C630" s="48" t="s">
        <v>75</v>
      </c>
      <c r="D630" s="113" t="s">
        <v>166</v>
      </c>
      <c r="E630" s="48" t="s">
        <v>32</v>
      </c>
      <c r="F630" s="17" t="s">
        <v>106</v>
      </c>
      <c r="G630" s="91">
        <v>30</v>
      </c>
      <c r="H630" s="17">
        <v>16</v>
      </c>
      <c r="I630" s="17">
        <v>2</v>
      </c>
      <c r="J630" s="91">
        <f>42</f>
        <v>42</v>
      </c>
      <c r="K630" s="17">
        <v>24</v>
      </c>
      <c r="L630" s="17">
        <v>2</v>
      </c>
      <c r="M630" s="91">
        <v>48</v>
      </c>
      <c r="N630" s="17">
        <v>24</v>
      </c>
      <c r="O630" s="17">
        <v>2</v>
      </c>
      <c r="P630" s="91">
        <v>48</v>
      </c>
      <c r="Q630" s="17">
        <v>23</v>
      </c>
      <c r="R630" s="17">
        <v>2</v>
      </c>
      <c r="S630" s="91">
        <f t="shared" ref="S630:S634" si="266">G630+J630+M630+P630</f>
        <v>168</v>
      </c>
      <c r="T630" s="17">
        <f t="shared" ref="T630:T634" si="267">H630+K630+N630+Q630</f>
        <v>87</v>
      </c>
      <c r="U630" s="12">
        <v>20</v>
      </c>
      <c r="V630" s="16">
        <v>11</v>
      </c>
      <c r="W630" s="91">
        <f>I630+L630+O630+R630</f>
        <v>8</v>
      </c>
    </row>
    <row r="631" spans="1:24" ht="30" customHeight="1" x14ac:dyDescent="0.25">
      <c r="A631" s="145" t="s">
        <v>241</v>
      </c>
      <c r="B631" s="145">
        <v>24</v>
      </c>
      <c r="C631" s="11" t="s">
        <v>70</v>
      </c>
      <c r="D631" s="113" t="s">
        <v>165</v>
      </c>
      <c r="E631" s="11" t="s">
        <v>156</v>
      </c>
      <c r="F631" s="145" t="s">
        <v>105</v>
      </c>
      <c r="G631" s="146">
        <v>39</v>
      </c>
      <c r="H631" s="145">
        <v>14</v>
      </c>
      <c r="I631" s="145">
        <v>2</v>
      </c>
      <c r="J631" s="146">
        <f>27+11</f>
        <v>38</v>
      </c>
      <c r="K631" s="145">
        <f>16+6</f>
        <v>22</v>
      </c>
      <c r="L631" s="145">
        <v>2</v>
      </c>
      <c r="M631" s="146">
        <v>37</v>
      </c>
      <c r="N631" s="145">
        <v>19</v>
      </c>
      <c r="O631" s="145">
        <v>1.5</v>
      </c>
      <c r="P631" s="146">
        <v>36</v>
      </c>
      <c r="Q631" s="145">
        <v>17</v>
      </c>
      <c r="R631" s="145">
        <v>1.5</v>
      </c>
      <c r="S631" s="98">
        <f t="shared" si="266"/>
        <v>150</v>
      </c>
      <c r="T631" s="78">
        <f t="shared" si="267"/>
        <v>72</v>
      </c>
      <c r="U631" s="79">
        <v>30</v>
      </c>
      <c r="V631" s="22">
        <v>14</v>
      </c>
      <c r="W631" s="98">
        <f>I631+L631+O631+R631</f>
        <v>7</v>
      </c>
    </row>
    <row r="632" spans="1:24" ht="30" customHeight="1" x14ac:dyDescent="0.25">
      <c r="A632" s="17" t="s">
        <v>241</v>
      </c>
      <c r="B632" s="17">
        <v>25</v>
      </c>
      <c r="C632" s="48" t="s">
        <v>74</v>
      </c>
      <c r="D632" s="113" t="s">
        <v>167</v>
      </c>
      <c r="E632" s="11" t="s">
        <v>130</v>
      </c>
      <c r="F632" s="17" t="s">
        <v>106</v>
      </c>
      <c r="G632" s="91">
        <v>46</v>
      </c>
      <c r="H632" s="17">
        <v>29</v>
      </c>
      <c r="I632" s="17">
        <v>2</v>
      </c>
      <c r="J632" s="91">
        <v>56</v>
      </c>
      <c r="K632" s="17">
        <v>27</v>
      </c>
      <c r="L632" s="17">
        <v>2</v>
      </c>
      <c r="M632" s="91">
        <v>50</v>
      </c>
      <c r="N632" s="17">
        <v>20</v>
      </c>
      <c r="O632" s="17">
        <v>2</v>
      </c>
      <c r="P632" s="91">
        <v>51</v>
      </c>
      <c r="Q632" s="17">
        <v>28</v>
      </c>
      <c r="R632" s="17">
        <v>2</v>
      </c>
      <c r="S632" s="91">
        <f t="shared" si="266"/>
        <v>203</v>
      </c>
      <c r="T632" s="17">
        <f t="shared" si="267"/>
        <v>104</v>
      </c>
      <c r="U632" s="12">
        <v>13</v>
      </c>
      <c r="V632" s="16">
        <v>3</v>
      </c>
      <c r="W632" s="91">
        <f>I632+L632+O632+R632</f>
        <v>8</v>
      </c>
    </row>
    <row r="633" spans="1:24" ht="30" customHeight="1" x14ac:dyDescent="0.25">
      <c r="A633" s="145" t="s">
        <v>241</v>
      </c>
      <c r="B633" s="145">
        <v>27</v>
      </c>
      <c r="C633" s="11" t="s">
        <v>60</v>
      </c>
      <c r="D633" s="113" t="s">
        <v>168</v>
      </c>
      <c r="E633" s="11" t="s">
        <v>21</v>
      </c>
      <c r="F633" s="145" t="s">
        <v>105</v>
      </c>
      <c r="G633" s="146">
        <v>53</v>
      </c>
      <c r="H633" s="145">
        <v>30</v>
      </c>
      <c r="I633" s="145">
        <v>2</v>
      </c>
      <c r="J633" s="146">
        <f>31+1</f>
        <v>32</v>
      </c>
      <c r="K633" s="145">
        <v>19</v>
      </c>
      <c r="L633" s="145">
        <v>2</v>
      </c>
      <c r="M633" s="146">
        <v>47</v>
      </c>
      <c r="N633" s="145">
        <v>19</v>
      </c>
      <c r="O633" s="145">
        <v>2</v>
      </c>
      <c r="P633" s="146">
        <v>49</v>
      </c>
      <c r="Q633" s="145">
        <v>26</v>
      </c>
      <c r="R633" s="145">
        <v>2</v>
      </c>
      <c r="S633" s="98">
        <f t="shared" si="266"/>
        <v>181</v>
      </c>
      <c r="T633" s="78">
        <f t="shared" si="267"/>
        <v>94</v>
      </c>
      <c r="U633" s="79">
        <v>20</v>
      </c>
      <c r="V633" s="22">
        <v>13</v>
      </c>
      <c r="W633" s="98">
        <f>I633+L633+O633+R633</f>
        <v>8</v>
      </c>
    </row>
    <row r="634" spans="1:24" ht="30" customHeight="1" x14ac:dyDescent="0.25">
      <c r="A634" s="17" t="s">
        <v>241</v>
      </c>
      <c r="B634" s="17">
        <v>27</v>
      </c>
      <c r="C634" s="48" t="s">
        <v>60</v>
      </c>
      <c r="D634" s="113" t="s">
        <v>169</v>
      </c>
      <c r="E634" s="48" t="s">
        <v>33</v>
      </c>
      <c r="F634" s="17" t="s">
        <v>106</v>
      </c>
      <c r="G634" s="91">
        <v>51</v>
      </c>
      <c r="H634" s="17">
        <v>29</v>
      </c>
      <c r="I634" s="17">
        <v>2</v>
      </c>
      <c r="J634" s="91">
        <f>57+1</f>
        <v>58</v>
      </c>
      <c r="K634" s="17">
        <f>20+0</f>
        <v>20</v>
      </c>
      <c r="L634" s="17">
        <v>2</v>
      </c>
      <c r="M634" s="91">
        <v>51</v>
      </c>
      <c r="N634" s="17">
        <v>32</v>
      </c>
      <c r="O634" s="17">
        <v>2</v>
      </c>
      <c r="P634" s="91">
        <v>45</v>
      </c>
      <c r="Q634" s="17">
        <v>28</v>
      </c>
      <c r="R634" s="17">
        <v>2</v>
      </c>
      <c r="S634" s="91">
        <f t="shared" si="266"/>
        <v>205</v>
      </c>
      <c r="T634" s="17">
        <f t="shared" si="267"/>
        <v>109</v>
      </c>
      <c r="U634" s="12">
        <v>14</v>
      </c>
      <c r="V634" s="16">
        <v>7</v>
      </c>
      <c r="W634" s="91">
        <f>I634+L634+O634+R634</f>
        <v>8</v>
      </c>
    </row>
    <row r="635" spans="1:24" s="111" customFormat="1" ht="30" customHeight="1" x14ac:dyDescent="0.25">
      <c r="A635" s="146" t="s">
        <v>241</v>
      </c>
      <c r="B635" s="144" t="s">
        <v>101</v>
      </c>
      <c r="C635" s="126"/>
      <c r="D635" s="126"/>
      <c r="E635" s="133"/>
      <c r="F635" s="132"/>
      <c r="G635" s="91">
        <f t="shared" ref="G635:L635" si="268">SUM(G630:G634)</f>
        <v>219</v>
      </c>
      <c r="H635" s="91">
        <f t="shared" si="268"/>
        <v>118</v>
      </c>
      <c r="I635" s="146">
        <f t="shared" si="268"/>
        <v>10</v>
      </c>
      <c r="J635" s="146">
        <f t="shared" si="268"/>
        <v>226</v>
      </c>
      <c r="K635" s="146">
        <f t="shared" si="268"/>
        <v>112</v>
      </c>
      <c r="L635" s="146">
        <f t="shared" si="268"/>
        <v>10</v>
      </c>
      <c r="M635" s="146">
        <f t="shared" ref="M635:W635" si="269">SUM(M630:M634)</f>
        <v>233</v>
      </c>
      <c r="N635" s="146">
        <f t="shared" si="269"/>
        <v>114</v>
      </c>
      <c r="O635" s="146">
        <f t="shared" si="269"/>
        <v>9.5</v>
      </c>
      <c r="P635" s="146">
        <f t="shared" si="269"/>
        <v>229</v>
      </c>
      <c r="Q635" s="146">
        <f t="shared" si="269"/>
        <v>122</v>
      </c>
      <c r="R635" s="146">
        <f t="shared" si="269"/>
        <v>9.5</v>
      </c>
      <c r="S635" s="98">
        <f t="shared" si="269"/>
        <v>907</v>
      </c>
      <c r="T635" s="98">
        <f t="shared" si="269"/>
        <v>466</v>
      </c>
      <c r="U635" s="79">
        <f t="shared" si="269"/>
        <v>97</v>
      </c>
      <c r="V635" s="79">
        <f t="shared" si="269"/>
        <v>48</v>
      </c>
      <c r="W635" s="98">
        <f t="shared" si="269"/>
        <v>39</v>
      </c>
      <c r="X635" s="115"/>
    </row>
    <row r="636" spans="1:24" ht="30" customHeight="1" x14ac:dyDescent="0.25">
      <c r="A636" s="17" t="s">
        <v>241</v>
      </c>
      <c r="B636" s="17">
        <v>31</v>
      </c>
      <c r="C636" s="48" t="s">
        <v>79</v>
      </c>
      <c r="D636" s="113" t="s">
        <v>163</v>
      </c>
      <c r="E636" s="11" t="s">
        <v>36</v>
      </c>
      <c r="F636" s="145" t="s">
        <v>107</v>
      </c>
      <c r="G636" s="146">
        <v>55</v>
      </c>
      <c r="H636" s="145">
        <v>22</v>
      </c>
      <c r="I636" s="17">
        <v>2</v>
      </c>
      <c r="J636" s="91">
        <f>47</f>
        <v>47</v>
      </c>
      <c r="K636" s="17">
        <v>24</v>
      </c>
      <c r="L636" s="17">
        <v>2</v>
      </c>
      <c r="M636" s="8">
        <v>40</v>
      </c>
      <c r="N636" s="9">
        <v>17</v>
      </c>
      <c r="O636" s="17">
        <v>2</v>
      </c>
      <c r="P636" s="8">
        <v>51</v>
      </c>
      <c r="Q636" s="9">
        <v>30</v>
      </c>
      <c r="R636" s="17">
        <v>2</v>
      </c>
      <c r="S636" s="8">
        <f>G636+J636+M636+P636</f>
        <v>193</v>
      </c>
      <c r="T636" s="17">
        <f t="shared" ref="T636:T639" si="270">H636+K636+N636+Q636</f>
        <v>93</v>
      </c>
      <c r="U636" s="12">
        <v>22</v>
      </c>
      <c r="V636" s="16">
        <v>9</v>
      </c>
      <c r="W636" s="91">
        <f>I636+L636+O636+R636</f>
        <v>8</v>
      </c>
    </row>
    <row r="637" spans="1:24" ht="30" customHeight="1" x14ac:dyDescent="0.25">
      <c r="A637" s="17" t="s">
        <v>241</v>
      </c>
      <c r="B637" s="17">
        <v>32</v>
      </c>
      <c r="C637" s="48" t="s">
        <v>85</v>
      </c>
      <c r="D637" s="113" t="s">
        <v>164</v>
      </c>
      <c r="E637" s="11" t="s">
        <v>137</v>
      </c>
      <c r="F637" s="145" t="s">
        <v>107</v>
      </c>
      <c r="G637" s="146">
        <v>60</v>
      </c>
      <c r="H637" s="145">
        <v>33</v>
      </c>
      <c r="I637" s="17">
        <v>3</v>
      </c>
      <c r="J637" s="91">
        <v>71</v>
      </c>
      <c r="K637" s="17">
        <v>40</v>
      </c>
      <c r="L637" s="17">
        <v>3</v>
      </c>
      <c r="M637" s="8">
        <v>44</v>
      </c>
      <c r="N637" s="9">
        <v>27</v>
      </c>
      <c r="O637" s="17">
        <v>2</v>
      </c>
      <c r="P637" s="8">
        <v>52</v>
      </c>
      <c r="Q637" s="9">
        <v>27</v>
      </c>
      <c r="R637" s="17">
        <v>2</v>
      </c>
      <c r="S637" s="8">
        <f t="shared" ref="S637:S639" si="271">G637+J637+M637+P637</f>
        <v>227</v>
      </c>
      <c r="T637" s="17">
        <f t="shared" si="270"/>
        <v>127</v>
      </c>
      <c r="U637" s="12">
        <v>35</v>
      </c>
      <c r="V637" s="16">
        <v>21</v>
      </c>
      <c r="W637" s="91">
        <f>I637+L637+O637+R637</f>
        <v>10</v>
      </c>
    </row>
    <row r="638" spans="1:24" ht="30" customHeight="1" x14ac:dyDescent="0.25">
      <c r="A638" s="145" t="s">
        <v>241</v>
      </c>
      <c r="B638" s="145">
        <v>33</v>
      </c>
      <c r="C638" s="11" t="s">
        <v>57</v>
      </c>
      <c r="D638" s="113" t="s">
        <v>161</v>
      </c>
      <c r="E638" s="11" t="s">
        <v>217</v>
      </c>
      <c r="F638" s="145" t="s">
        <v>105</v>
      </c>
      <c r="G638" s="146">
        <v>34</v>
      </c>
      <c r="H638" s="145">
        <v>19</v>
      </c>
      <c r="I638" s="145">
        <v>1.5</v>
      </c>
      <c r="J638" s="146">
        <f>33+5</f>
        <v>38</v>
      </c>
      <c r="K638" s="145">
        <f>18+3</f>
        <v>21</v>
      </c>
      <c r="L638" s="145">
        <v>1.5</v>
      </c>
      <c r="M638" s="146">
        <v>23</v>
      </c>
      <c r="N638" s="145">
        <v>13</v>
      </c>
      <c r="O638" s="145">
        <v>1</v>
      </c>
      <c r="P638" s="146">
        <v>34</v>
      </c>
      <c r="Q638" s="145">
        <v>14</v>
      </c>
      <c r="R638" s="145">
        <v>2</v>
      </c>
      <c r="S638" s="8">
        <f t="shared" si="271"/>
        <v>129</v>
      </c>
      <c r="T638" s="78">
        <f t="shared" si="270"/>
        <v>67</v>
      </c>
      <c r="U638" s="79">
        <v>25</v>
      </c>
      <c r="V638" s="22">
        <v>12</v>
      </c>
      <c r="W638" s="98">
        <f>I638+L638+O638+R638</f>
        <v>6</v>
      </c>
    </row>
    <row r="639" spans="1:24" ht="30" customHeight="1" x14ac:dyDescent="0.25">
      <c r="A639" s="145" t="s">
        <v>241</v>
      </c>
      <c r="B639" s="145">
        <v>34</v>
      </c>
      <c r="C639" s="11" t="s">
        <v>54</v>
      </c>
      <c r="D639" s="113" t="s">
        <v>162</v>
      </c>
      <c r="E639" s="11" t="s">
        <v>15</v>
      </c>
      <c r="F639" s="145" t="s">
        <v>105</v>
      </c>
      <c r="G639" s="146">
        <v>65</v>
      </c>
      <c r="H639" s="145">
        <v>30</v>
      </c>
      <c r="I639" s="145">
        <v>3</v>
      </c>
      <c r="J639" s="146">
        <v>73</v>
      </c>
      <c r="K639" s="145">
        <f>36+5</f>
        <v>41</v>
      </c>
      <c r="L639" s="145">
        <v>3</v>
      </c>
      <c r="M639" s="146">
        <v>59</v>
      </c>
      <c r="N639" s="145">
        <v>26</v>
      </c>
      <c r="O639" s="145">
        <v>3</v>
      </c>
      <c r="P639" s="146">
        <v>68</v>
      </c>
      <c r="Q639" s="145">
        <v>33</v>
      </c>
      <c r="R639" s="145">
        <v>3</v>
      </c>
      <c r="S639" s="8">
        <f t="shared" si="271"/>
        <v>265</v>
      </c>
      <c r="T639" s="78">
        <f t="shared" si="270"/>
        <v>130</v>
      </c>
      <c r="U639" s="79">
        <v>34</v>
      </c>
      <c r="V639" s="22">
        <v>17</v>
      </c>
      <c r="W639" s="98">
        <f>I639+L639+O639+R639</f>
        <v>12</v>
      </c>
    </row>
    <row r="640" spans="1:24" s="111" customFormat="1" ht="30" customHeight="1" x14ac:dyDescent="0.25">
      <c r="A640" s="146" t="s">
        <v>241</v>
      </c>
      <c r="B640" s="126" t="s">
        <v>93</v>
      </c>
      <c r="C640" s="126"/>
      <c r="D640" s="126"/>
      <c r="E640" s="133"/>
      <c r="F640" s="132"/>
      <c r="G640" s="91">
        <f t="shared" ref="G640:L640" si="272">SUM(G636:G639)</f>
        <v>214</v>
      </c>
      <c r="H640" s="91">
        <f t="shared" si="272"/>
        <v>104</v>
      </c>
      <c r="I640" s="146">
        <f t="shared" si="272"/>
        <v>9.5</v>
      </c>
      <c r="J640" s="146">
        <f t="shared" si="272"/>
        <v>229</v>
      </c>
      <c r="K640" s="146">
        <f t="shared" si="272"/>
        <v>126</v>
      </c>
      <c r="L640" s="146">
        <f t="shared" si="272"/>
        <v>9.5</v>
      </c>
      <c r="M640" s="146">
        <f t="shared" ref="M640:W640" si="273">SUM(M636:M639)</f>
        <v>166</v>
      </c>
      <c r="N640" s="146">
        <f t="shared" si="273"/>
        <v>83</v>
      </c>
      <c r="O640" s="146">
        <f t="shared" si="273"/>
        <v>8</v>
      </c>
      <c r="P640" s="146">
        <f t="shared" si="273"/>
        <v>205</v>
      </c>
      <c r="Q640" s="146">
        <f t="shared" si="273"/>
        <v>104</v>
      </c>
      <c r="R640" s="146">
        <f t="shared" si="273"/>
        <v>9</v>
      </c>
      <c r="S640" s="98">
        <f t="shared" si="273"/>
        <v>814</v>
      </c>
      <c r="T640" s="98">
        <f t="shared" si="273"/>
        <v>417</v>
      </c>
      <c r="U640" s="79">
        <f t="shared" si="273"/>
        <v>116</v>
      </c>
      <c r="V640" s="79">
        <f t="shared" si="273"/>
        <v>59</v>
      </c>
      <c r="W640" s="98">
        <f t="shared" si="273"/>
        <v>36</v>
      </c>
      <c r="X640" s="115"/>
    </row>
    <row r="641" spans="1:24" ht="30" customHeight="1" x14ac:dyDescent="0.25">
      <c r="A641" s="145" t="s">
        <v>241</v>
      </c>
      <c r="B641" s="145">
        <v>45</v>
      </c>
      <c r="C641" s="11" t="s">
        <v>65</v>
      </c>
      <c r="D641" s="113" t="s">
        <v>170</v>
      </c>
      <c r="E641" s="11" t="s">
        <v>25</v>
      </c>
      <c r="F641" s="145" t="s">
        <v>105</v>
      </c>
      <c r="G641" s="146">
        <v>51</v>
      </c>
      <c r="H641" s="145">
        <v>26</v>
      </c>
      <c r="I641" s="145">
        <v>2</v>
      </c>
      <c r="J641" s="146">
        <f>49+5</f>
        <v>54</v>
      </c>
      <c r="K641" s="145">
        <f>25+3</f>
        <v>28</v>
      </c>
      <c r="L641" s="145">
        <v>2</v>
      </c>
      <c r="M641" s="146">
        <v>44</v>
      </c>
      <c r="N641" s="145">
        <v>19</v>
      </c>
      <c r="O641" s="145">
        <v>2</v>
      </c>
      <c r="P641" s="146">
        <v>46</v>
      </c>
      <c r="Q641" s="145">
        <v>29</v>
      </c>
      <c r="R641" s="145">
        <v>2</v>
      </c>
      <c r="S641" s="98">
        <f t="shared" ref="S641:S644" si="274">G641+J641+M641+P641</f>
        <v>195</v>
      </c>
      <c r="T641" s="78">
        <f t="shared" ref="T641:T644" si="275">H641+K641+N641+Q641</f>
        <v>102</v>
      </c>
      <c r="U641" s="79">
        <v>17</v>
      </c>
      <c r="V641" s="22">
        <v>10</v>
      </c>
      <c r="W641" s="98">
        <f>I641+L641+O641+R641</f>
        <v>8</v>
      </c>
    </row>
    <row r="642" spans="1:24" ht="30" customHeight="1" x14ac:dyDescent="0.25">
      <c r="A642" s="17" t="s">
        <v>241</v>
      </c>
      <c r="B642" s="17">
        <v>45</v>
      </c>
      <c r="C642" s="48" t="s">
        <v>65</v>
      </c>
      <c r="D642" s="113" t="s">
        <v>171</v>
      </c>
      <c r="E642" s="11" t="s">
        <v>43</v>
      </c>
      <c r="F642" s="145" t="s">
        <v>107</v>
      </c>
      <c r="G642" s="146">
        <v>56</v>
      </c>
      <c r="H642" s="145">
        <v>28</v>
      </c>
      <c r="I642" s="17">
        <v>2</v>
      </c>
      <c r="J642" s="91">
        <f>46+5</f>
        <v>51</v>
      </c>
      <c r="K642" s="17">
        <f>20+2</f>
        <v>22</v>
      </c>
      <c r="L642" s="17">
        <v>2</v>
      </c>
      <c r="M642" s="8">
        <v>50</v>
      </c>
      <c r="N642" s="17">
        <v>24</v>
      </c>
      <c r="O642" s="17">
        <v>2</v>
      </c>
      <c r="P642" s="8">
        <v>43</v>
      </c>
      <c r="Q642" s="9">
        <v>26</v>
      </c>
      <c r="R642" s="17">
        <v>2</v>
      </c>
      <c r="S642" s="91">
        <f t="shared" si="274"/>
        <v>200</v>
      </c>
      <c r="T642" s="17">
        <f t="shared" si="275"/>
        <v>100</v>
      </c>
      <c r="U642" s="12">
        <v>13</v>
      </c>
      <c r="V642" s="16">
        <v>5</v>
      </c>
      <c r="W642" s="91">
        <f>I642+L642+O642+R642</f>
        <v>8</v>
      </c>
    </row>
    <row r="643" spans="1:24" ht="30" customHeight="1" x14ac:dyDescent="0.25">
      <c r="A643" s="145" t="s">
        <v>241</v>
      </c>
      <c r="B643" s="145">
        <v>46</v>
      </c>
      <c r="C643" s="11" t="s">
        <v>73</v>
      </c>
      <c r="D643" s="113" t="s">
        <v>172</v>
      </c>
      <c r="E643" s="11" t="s">
        <v>30</v>
      </c>
      <c r="F643" s="145" t="s">
        <v>105</v>
      </c>
      <c r="G643" s="146">
        <v>93</v>
      </c>
      <c r="H643" s="145">
        <v>45</v>
      </c>
      <c r="I643" s="145">
        <v>4</v>
      </c>
      <c r="J643" s="146">
        <f>73+8</f>
        <v>81</v>
      </c>
      <c r="K643" s="145">
        <f>38+0</f>
        <v>38</v>
      </c>
      <c r="L643" s="145">
        <v>3</v>
      </c>
      <c r="M643" s="146">
        <v>80</v>
      </c>
      <c r="N643" s="145">
        <v>51</v>
      </c>
      <c r="O643" s="145">
        <v>3</v>
      </c>
      <c r="P643" s="146">
        <v>67</v>
      </c>
      <c r="Q643" s="145">
        <v>24</v>
      </c>
      <c r="R643" s="145">
        <v>3</v>
      </c>
      <c r="S643" s="98">
        <f t="shared" si="274"/>
        <v>321</v>
      </c>
      <c r="T643" s="78">
        <f t="shared" si="275"/>
        <v>158</v>
      </c>
      <c r="U643" s="79">
        <v>43</v>
      </c>
      <c r="V643" s="22">
        <v>17</v>
      </c>
      <c r="W643" s="98">
        <f>I643+L643+O643+R643</f>
        <v>13</v>
      </c>
    </row>
    <row r="644" spans="1:24" ht="30" customHeight="1" x14ac:dyDescent="0.25">
      <c r="A644" s="145" t="s">
        <v>241</v>
      </c>
      <c r="B644" s="145">
        <v>47</v>
      </c>
      <c r="C644" s="11" t="s">
        <v>53</v>
      </c>
      <c r="D644" s="113" t="s">
        <v>173</v>
      </c>
      <c r="E644" s="11" t="s">
        <v>133</v>
      </c>
      <c r="F644" s="145" t="s">
        <v>105</v>
      </c>
      <c r="G644" s="146">
        <v>59</v>
      </c>
      <c r="H644" s="145">
        <v>27</v>
      </c>
      <c r="I644" s="145">
        <v>3</v>
      </c>
      <c r="J644" s="146">
        <f>69+19</f>
        <v>88</v>
      </c>
      <c r="K644" s="145">
        <f>42+11</f>
        <v>53</v>
      </c>
      <c r="L644" s="145">
        <v>3</v>
      </c>
      <c r="M644" s="146">
        <v>59</v>
      </c>
      <c r="N644" s="145">
        <v>33</v>
      </c>
      <c r="O644" s="145">
        <v>3</v>
      </c>
      <c r="P644" s="146">
        <v>70</v>
      </c>
      <c r="Q644" s="145">
        <v>29</v>
      </c>
      <c r="R644" s="145">
        <v>3</v>
      </c>
      <c r="S644" s="98">
        <f t="shared" si="274"/>
        <v>276</v>
      </c>
      <c r="T644" s="78">
        <f t="shared" si="275"/>
        <v>142</v>
      </c>
      <c r="U644" s="79">
        <v>45</v>
      </c>
      <c r="V644" s="22">
        <v>27</v>
      </c>
      <c r="W644" s="98">
        <f>I644+L644+O644+R644</f>
        <v>12</v>
      </c>
    </row>
    <row r="645" spans="1:24" s="111" customFormat="1" ht="30" customHeight="1" x14ac:dyDescent="0.25">
      <c r="A645" s="146" t="s">
        <v>241</v>
      </c>
      <c r="B645" s="126" t="s">
        <v>94</v>
      </c>
      <c r="C645" s="126"/>
      <c r="D645" s="126"/>
      <c r="E645" s="133"/>
      <c r="F645" s="132"/>
      <c r="G645" s="91">
        <f>SUM(G641:G644)</f>
        <v>259</v>
      </c>
      <c r="H645" s="91">
        <f t="shared" ref="H645:L645" si="276">SUM(H641:H644)</f>
        <v>126</v>
      </c>
      <c r="I645" s="91">
        <f t="shared" si="276"/>
        <v>11</v>
      </c>
      <c r="J645" s="91">
        <f t="shared" si="276"/>
        <v>274</v>
      </c>
      <c r="K645" s="91">
        <f t="shared" si="276"/>
        <v>141</v>
      </c>
      <c r="L645" s="91">
        <f t="shared" si="276"/>
        <v>10</v>
      </c>
      <c r="M645" s="91">
        <f t="shared" ref="M645:W645" si="277">SUM(M641:M644)</f>
        <v>233</v>
      </c>
      <c r="N645" s="91">
        <f t="shared" si="277"/>
        <v>127</v>
      </c>
      <c r="O645" s="91">
        <f t="shared" si="277"/>
        <v>10</v>
      </c>
      <c r="P645" s="91">
        <f t="shared" si="277"/>
        <v>226</v>
      </c>
      <c r="Q645" s="91">
        <f t="shared" si="277"/>
        <v>108</v>
      </c>
      <c r="R645" s="91">
        <f t="shared" si="277"/>
        <v>10</v>
      </c>
      <c r="S645" s="91">
        <f t="shared" si="277"/>
        <v>992</v>
      </c>
      <c r="T645" s="91">
        <f t="shared" si="277"/>
        <v>502</v>
      </c>
      <c r="U645" s="12">
        <f>SUM(U641:U644)</f>
        <v>118</v>
      </c>
      <c r="V645" s="12">
        <f>SUM(V641:V644)</f>
        <v>59</v>
      </c>
      <c r="W645" s="91">
        <f t="shared" si="277"/>
        <v>41</v>
      </c>
      <c r="X645" s="115"/>
    </row>
    <row r="646" spans="1:24" s="111" customFormat="1" ht="30" customHeight="1" x14ac:dyDescent="0.25">
      <c r="A646" s="146" t="s">
        <v>241</v>
      </c>
      <c r="B646" s="133" t="s">
        <v>95</v>
      </c>
      <c r="C646" s="134"/>
      <c r="D646" s="134"/>
      <c r="E646" s="134"/>
      <c r="F646" s="132"/>
      <c r="G646" s="12">
        <f>G629+G635+G640+G645</f>
        <v>762</v>
      </c>
      <c r="H646" s="91">
        <f t="shared" ref="H646:L646" si="278">H629+H635+H640+H645</f>
        <v>386</v>
      </c>
      <c r="I646" s="146">
        <f t="shared" si="278"/>
        <v>33.75</v>
      </c>
      <c r="J646" s="146">
        <f t="shared" si="278"/>
        <v>804</v>
      </c>
      <c r="K646" s="146">
        <f t="shared" si="278"/>
        <v>409</v>
      </c>
      <c r="L646" s="129">
        <f t="shared" si="278"/>
        <v>32.75</v>
      </c>
      <c r="M646" s="146">
        <f t="shared" ref="M646:W646" si="279">M629+M635+M640+M645</f>
        <v>705</v>
      </c>
      <c r="N646" s="146">
        <f t="shared" si="279"/>
        <v>358</v>
      </c>
      <c r="O646" s="146">
        <f t="shared" si="279"/>
        <v>30.75</v>
      </c>
      <c r="P646" s="146">
        <f t="shared" si="279"/>
        <v>710</v>
      </c>
      <c r="Q646" s="146">
        <f t="shared" si="279"/>
        <v>365</v>
      </c>
      <c r="R646" s="146">
        <f t="shared" si="279"/>
        <v>30.75</v>
      </c>
      <c r="S646" s="128">
        <f t="shared" si="279"/>
        <v>2981</v>
      </c>
      <c r="T646" s="128">
        <f t="shared" si="279"/>
        <v>1518</v>
      </c>
      <c r="U646" s="79">
        <f t="shared" si="279"/>
        <v>350</v>
      </c>
      <c r="V646" s="79">
        <f t="shared" si="279"/>
        <v>172</v>
      </c>
      <c r="W646" s="98">
        <f t="shared" si="279"/>
        <v>128</v>
      </c>
      <c r="X646" s="115"/>
    </row>
    <row r="647" spans="1:24" ht="30" customHeight="1" x14ac:dyDescent="0.25">
      <c r="A647" s="145" t="s">
        <v>241</v>
      </c>
      <c r="B647" s="145">
        <v>51</v>
      </c>
      <c r="C647" s="11" t="s">
        <v>66</v>
      </c>
      <c r="D647" s="113" t="s">
        <v>174</v>
      </c>
      <c r="E647" s="11" t="s">
        <v>26</v>
      </c>
      <c r="F647" s="145" t="s">
        <v>105</v>
      </c>
      <c r="G647" s="146">
        <v>68</v>
      </c>
      <c r="H647" s="145">
        <v>30</v>
      </c>
      <c r="I647" s="145">
        <v>3</v>
      </c>
      <c r="J647" s="146">
        <v>59</v>
      </c>
      <c r="K647" s="145">
        <v>22</v>
      </c>
      <c r="L647" s="145">
        <v>3</v>
      </c>
      <c r="M647" s="146">
        <v>55</v>
      </c>
      <c r="N647" s="145">
        <v>23</v>
      </c>
      <c r="O647" s="145">
        <v>2</v>
      </c>
      <c r="P647" s="146">
        <v>59</v>
      </c>
      <c r="Q647" s="145">
        <v>29</v>
      </c>
      <c r="R647" s="145">
        <v>3</v>
      </c>
      <c r="S647" s="98">
        <f t="shared" ref="S647:S680" si="280">G647+J647+M647+P647</f>
        <v>241</v>
      </c>
      <c r="T647" s="78">
        <f t="shared" ref="T647:T680" si="281">H647+K647+N647+Q647</f>
        <v>104</v>
      </c>
      <c r="U647" s="79">
        <v>49</v>
      </c>
      <c r="V647" s="22">
        <v>20</v>
      </c>
      <c r="W647" s="98">
        <f>I647+L647+O647+R647</f>
        <v>11</v>
      </c>
    </row>
    <row r="648" spans="1:24" ht="30" customHeight="1" x14ac:dyDescent="0.25">
      <c r="A648" s="17" t="s">
        <v>241</v>
      </c>
      <c r="B648" s="17">
        <v>51</v>
      </c>
      <c r="C648" s="48" t="s">
        <v>66</v>
      </c>
      <c r="D648" s="113" t="s">
        <v>175</v>
      </c>
      <c r="E648" s="11" t="s">
        <v>41</v>
      </c>
      <c r="F648" s="145" t="s">
        <v>107</v>
      </c>
      <c r="G648" s="146">
        <v>66</v>
      </c>
      <c r="H648" s="145">
        <v>37</v>
      </c>
      <c r="I648" s="17">
        <v>3</v>
      </c>
      <c r="J648" s="91">
        <v>78</v>
      </c>
      <c r="K648" s="17">
        <v>34</v>
      </c>
      <c r="L648" s="17">
        <v>3</v>
      </c>
      <c r="M648" s="8">
        <v>75</v>
      </c>
      <c r="N648" s="9">
        <v>35</v>
      </c>
      <c r="O648" s="17">
        <v>3</v>
      </c>
      <c r="P648" s="8">
        <v>73</v>
      </c>
      <c r="Q648" s="9">
        <v>32</v>
      </c>
      <c r="R648" s="17">
        <v>3</v>
      </c>
      <c r="S648" s="91">
        <f t="shared" si="280"/>
        <v>292</v>
      </c>
      <c r="T648" s="17">
        <f t="shared" si="281"/>
        <v>138</v>
      </c>
      <c r="U648" s="12">
        <v>36</v>
      </c>
      <c r="V648" s="16">
        <v>21</v>
      </c>
      <c r="W648" s="91">
        <f>I648+L648+O648+R648</f>
        <v>12</v>
      </c>
    </row>
    <row r="649" spans="1:24" ht="30" customHeight="1" x14ac:dyDescent="0.25">
      <c r="A649" s="17" t="s">
        <v>241</v>
      </c>
      <c r="B649" s="17">
        <v>51</v>
      </c>
      <c r="C649" s="48" t="s">
        <v>66</v>
      </c>
      <c r="D649" s="113" t="s">
        <v>176</v>
      </c>
      <c r="E649" s="11" t="s">
        <v>206</v>
      </c>
      <c r="F649" s="145" t="s">
        <v>106</v>
      </c>
      <c r="G649" s="146">
        <v>89</v>
      </c>
      <c r="H649" s="145">
        <v>40</v>
      </c>
      <c r="I649" s="17">
        <v>4</v>
      </c>
      <c r="J649" s="91">
        <f>87+16</f>
        <v>103</v>
      </c>
      <c r="K649" s="17">
        <f>37+4</f>
        <v>41</v>
      </c>
      <c r="L649" s="17">
        <v>4</v>
      </c>
      <c r="M649" s="91">
        <v>75</v>
      </c>
      <c r="N649" s="17">
        <v>40</v>
      </c>
      <c r="O649" s="17">
        <v>4</v>
      </c>
      <c r="P649" s="91">
        <v>92</v>
      </c>
      <c r="Q649" s="17">
        <v>51</v>
      </c>
      <c r="R649" s="17">
        <v>4</v>
      </c>
      <c r="S649" s="91">
        <f t="shared" si="280"/>
        <v>359</v>
      </c>
      <c r="T649" s="17">
        <f t="shared" si="281"/>
        <v>172</v>
      </c>
      <c r="U649" s="12">
        <v>33</v>
      </c>
      <c r="V649" s="16">
        <v>17</v>
      </c>
      <c r="W649" s="91">
        <f>I649+L649+O649+R649</f>
        <v>16</v>
      </c>
    </row>
    <row r="650" spans="1:24" ht="30" customHeight="1" x14ac:dyDescent="0.25">
      <c r="A650" s="145" t="s">
        <v>241</v>
      </c>
      <c r="B650" s="145">
        <v>52</v>
      </c>
      <c r="C650" s="11" t="s">
        <v>72</v>
      </c>
      <c r="D650" s="113" t="s">
        <v>177</v>
      </c>
      <c r="E650" s="11" t="s">
        <v>29</v>
      </c>
      <c r="F650" s="145" t="s">
        <v>105</v>
      </c>
      <c r="G650" s="146">
        <v>38</v>
      </c>
      <c r="H650" s="145">
        <v>11</v>
      </c>
      <c r="I650" s="145">
        <v>2</v>
      </c>
      <c r="J650" s="146">
        <f>25+1</f>
        <v>26</v>
      </c>
      <c r="K650" s="145">
        <f>11+0</f>
        <v>11</v>
      </c>
      <c r="L650" s="145">
        <v>1</v>
      </c>
      <c r="M650" s="146">
        <v>38</v>
      </c>
      <c r="N650" s="145">
        <v>21</v>
      </c>
      <c r="O650" s="145">
        <v>2</v>
      </c>
      <c r="P650" s="146">
        <v>41</v>
      </c>
      <c r="Q650" s="145">
        <v>25</v>
      </c>
      <c r="R650" s="145">
        <v>2</v>
      </c>
      <c r="S650" s="98">
        <f t="shared" si="280"/>
        <v>143</v>
      </c>
      <c r="T650" s="78">
        <f t="shared" si="281"/>
        <v>68</v>
      </c>
      <c r="U650" s="79">
        <v>9</v>
      </c>
      <c r="V650" s="22">
        <v>6</v>
      </c>
      <c r="W650" s="98">
        <f>I650+L650+O650+R650</f>
        <v>7</v>
      </c>
    </row>
    <row r="651" spans="1:24" ht="30" customHeight="1" x14ac:dyDescent="0.25">
      <c r="A651" s="17" t="s">
        <v>241</v>
      </c>
      <c r="B651" s="17">
        <v>54</v>
      </c>
      <c r="C651" s="48" t="s">
        <v>89</v>
      </c>
      <c r="D651" s="113" t="s">
        <v>178</v>
      </c>
      <c r="E651" s="11" t="s">
        <v>111</v>
      </c>
      <c r="F651" s="145" t="s">
        <v>107</v>
      </c>
      <c r="G651" s="146">
        <v>77</v>
      </c>
      <c r="H651" s="145">
        <v>46</v>
      </c>
      <c r="I651" s="17">
        <v>3</v>
      </c>
      <c r="J651" s="91">
        <v>92</v>
      </c>
      <c r="K651" s="17">
        <f>35+11</f>
        <v>46</v>
      </c>
      <c r="L651" s="17">
        <v>4</v>
      </c>
      <c r="M651" s="8">
        <v>83</v>
      </c>
      <c r="N651" s="9">
        <v>44</v>
      </c>
      <c r="O651" s="17">
        <v>3</v>
      </c>
      <c r="P651" s="8">
        <v>56</v>
      </c>
      <c r="Q651" s="9">
        <v>29</v>
      </c>
      <c r="R651" s="17">
        <v>2</v>
      </c>
      <c r="S651" s="91">
        <f t="shared" si="280"/>
        <v>308</v>
      </c>
      <c r="T651" s="17">
        <f t="shared" si="281"/>
        <v>165</v>
      </c>
      <c r="U651" s="12">
        <v>51</v>
      </c>
      <c r="V651" s="16">
        <v>28</v>
      </c>
      <c r="W651" s="91">
        <f>I651+L651+O651+R651</f>
        <v>12</v>
      </c>
    </row>
    <row r="652" spans="1:24" ht="30" customHeight="1" x14ac:dyDescent="0.25">
      <c r="A652" s="17" t="s">
        <v>241</v>
      </c>
      <c r="B652" s="17">
        <v>56</v>
      </c>
      <c r="C652" s="48" t="s">
        <v>83</v>
      </c>
      <c r="D652" s="113" t="s">
        <v>179</v>
      </c>
      <c r="E652" s="11" t="s">
        <v>38</v>
      </c>
      <c r="F652" s="145" t="s">
        <v>107</v>
      </c>
      <c r="G652" s="146">
        <v>67</v>
      </c>
      <c r="H652" s="145">
        <v>36</v>
      </c>
      <c r="I652" s="17">
        <v>3</v>
      </c>
      <c r="J652" s="91">
        <f>69+6</f>
        <v>75</v>
      </c>
      <c r="K652" s="17">
        <f>33+2</f>
        <v>35</v>
      </c>
      <c r="L652" s="17">
        <v>3</v>
      </c>
      <c r="M652" s="8">
        <v>75</v>
      </c>
      <c r="N652" s="9">
        <v>33</v>
      </c>
      <c r="O652" s="17">
        <v>3</v>
      </c>
      <c r="P652" s="8">
        <v>74</v>
      </c>
      <c r="Q652" s="9">
        <v>37</v>
      </c>
      <c r="R652" s="17">
        <v>3</v>
      </c>
      <c r="S652" s="8">
        <f t="shared" si="280"/>
        <v>291</v>
      </c>
      <c r="T652" s="17">
        <f t="shared" si="281"/>
        <v>141</v>
      </c>
      <c r="U652" s="12">
        <v>27</v>
      </c>
      <c r="V652" s="16">
        <v>16</v>
      </c>
      <c r="W652" s="91">
        <f>I652+L652+O652+R652</f>
        <v>12</v>
      </c>
    </row>
    <row r="653" spans="1:24" ht="30" customHeight="1" x14ac:dyDescent="0.25">
      <c r="A653" s="145" t="s">
        <v>241</v>
      </c>
      <c r="B653" s="145">
        <v>57</v>
      </c>
      <c r="C653" s="11" t="s">
        <v>63</v>
      </c>
      <c r="D653" s="113" t="s">
        <v>180</v>
      </c>
      <c r="E653" s="11" t="s">
        <v>23</v>
      </c>
      <c r="F653" s="145" t="s">
        <v>105</v>
      </c>
      <c r="G653" s="146">
        <v>93</v>
      </c>
      <c r="H653" s="145">
        <v>40</v>
      </c>
      <c r="I653" s="145">
        <v>4</v>
      </c>
      <c r="J653" s="146">
        <v>91</v>
      </c>
      <c r="K653" s="145">
        <f>37+1</f>
        <v>38</v>
      </c>
      <c r="L653" s="145">
        <v>4</v>
      </c>
      <c r="M653" s="146">
        <v>90</v>
      </c>
      <c r="N653" s="145">
        <v>39</v>
      </c>
      <c r="O653" s="145">
        <v>4</v>
      </c>
      <c r="P653" s="146">
        <v>77</v>
      </c>
      <c r="Q653" s="145">
        <v>32</v>
      </c>
      <c r="R653" s="145">
        <v>4</v>
      </c>
      <c r="S653" s="98">
        <f t="shared" si="280"/>
        <v>351</v>
      </c>
      <c r="T653" s="78">
        <f t="shared" si="281"/>
        <v>149</v>
      </c>
      <c r="U653" s="79">
        <v>47</v>
      </c>
      <c r="V653" s="22">
        <v>14</v>
      </c>
      <c r="W653" s="98">
        <f>I653+L653+O653+R653</f>
        <v>16</v>
      </c>
    </row>
    <row r="654" spans="1:24" ht="30" customHeight="1" x14ac:dyDescent="0.25">
      <c r="A654" s="145" t="s">
        <v>241</v>
      </c>
      <c r="B654" s="145">
        <v>58</v>
      </c>
      <c r="C654" s="11" t="s">
        <v>50</v>
      </c>
      <c r="D654" s="113" t="s">
        <v>181</v>
      </c>
      <c r="E654" s="11" t="s">
        <v>215</v>
      </c>
      <c r="F654" s="145" t="s">
        <v>105</v>
      </c>
      <c r="G654" s="146">
        <v>54</v>
      </c>
      <c r="H654" s="145">
        <v>25</v>
      </c>
      <c r="I654" s="145">
        <v>2</v>
      </c>
      <c r="J654" s="146">
        <f>43+6</f>
        <v>49</v>
      </c>
      <c r="K654" s="145">
        <f>23+3</f>
        <v>26</v>
      </c>
      <c r="L654" s="145">
        <v>2</v>
      </c>
      <c r="M654" s="146">
        <v>65</v>
      </c>
      <c r="N654" s="145">
        <v>31</v>
      </c>
      <c r="O654" s="145">
        <v>3</v>
      </c>
      <c r="P654" s="146">
        <v>51</v>
      </c>
      <c r="Q654" s="145">
        <v>27</v>
      </c>
      <c r="R654" s="145">
        <v>2</v>
      </c>
      <c r="S654" s="98">
        <f t="shared" si="280"/>
        <v>219</v>
      </c>
      <c r="T654" s="78">
        <f t="shared" si="281"/>
        <v>109</v>
      </c>
      <c r="U654" s="79">
        <v>25</v>
      </c>
      <c r="V654" s="22">
        <v>13</v>
      </c>
      <c r="W654" s="98">
        <f>I654+L654+O654+R654</f>
        <v>9</v>
      </c>
    </row>
    <row r="655" spans="1:24" s="111" customFormat="1" ht="30" customHeight="1" x14ac:dyDescent="0.25">
      <c r="A655" s="146" t="s">
        <v>241</v>
      </c>
      <c r="B655" s="133" t="s">
        <v>96</v>
      </c>
      <c r="C655" s="134"/>
      <c r="D655" s="134"/>
      <c r="E655" s="134"/>
      <c r="F655" s="132"/>
      <c r="G655" s="146">
        <f t="shared" ref="G655:L655" si="282">SUM(G647:G654)</f>
        <v>552</v>
      </c>
      <c r="H655" s="146">
        <f t="shared" si="282"/>
        <v>265</v>
      </c>
      <c r="I655" s="146">
        <f t="shared" si="282"/>
        <v>24</v>
      </c>
      <c r="J655" s="146">
        <f t="shared" si="282"/>
        <v>573</v>
      </c>
      <c r="K655" s="146">
        <f t="shared" si="282"/>
        <v>253</v>
      </c>
      <c r="L655" s="140">
        <f t="shared" si="282"/>
        <v>24</v>
      </c>
      <c r="M655" s="146">
        <f t="shared" ref="M655:R655" si="283">SUM(M647:M654)</f>
        <v>556</v>
      </c>
      <c r="N655" s="146">
        <f t="shared" si="283"/>
        <v>266</v>
      </c>
      <c r="O655" s="146">
        <f t="shared" si="283"/>
        <v>24</v>
      </c>
      <c r="P655" s="146">
        <f t="shared" si="283"/>
        <v>523</v>
      </c>
      <c r="Q655" s="146">
        <f t="shared" si="283"/>
        <v>262</v>
      </c>
      <c r="R655" s="146">
        <f t="shared" si="283"/>
        <v>23</v>
      </c>
      <c r="S655" s="128">
        <f t="shared" si="280"/>
        <v>2204</v>
      </c>
      <c r="T655" s="128">
        <f t="shared" si="281"/>
        <v>1046</v>
      </c>
      <c r="U655" s="79">
        <f t="shared" ref="U655:W655" si="284">SUM(U647:U654)</f>
        <v>277</v>
      </c>
      <c r="V655" s="79">
        <f t="shared" si="284"/>
        <v>135</v>
      </c>
      <c r="W655" s="98">
        <f t="shared" si="284"/>
        <v>95</v>
      </c>
      <c r="X655" s="115"/>
    </row>
    <row r="656" spans="1:24" ht="30" customHeight="1" x14ac:dyDescent="0.25">
      <c r="A656" s="17" t="s">
        <v>241</v>
      </c>
      <c r="B656" s="17">
        <v>61</v>
      </c>
      <c r="C656" s="48" t="s">
        <v>69</v>
      </c>
      <c r="D656" s="113" t="s">
        <v>182</v>
      </c>
      <c r="E656" s="11" t="s">
        <v>208</v>
      </c>
      <c r="F656" s="145" t="s">
        <v>106</v>
      </c>
      <c r="G656" s="146">
        <v>48</v>
      </c>
      <c r="H656" s="145">
        <v>22</v>
      </c>
      <c r="I656" s="17">
        <v>3</v>
      </c>
      <c r="J656" s="91">
        <f>45+30</f>
        <v>75</v>
      </c>
      <c r="K656" s="17">
        <f>16+16</f>
        <v>32</v>
      </c>
      <c r="L656" s="17">
        <v>3</v>
      </c>
      <c r="M656" s="91">
        <v>44</v>
      </c>
      <c r="N656" s="17">
        <v>24</v>
      </c>
      <c r="O656" s="17">
        <v>2</v>
      </c>
      <c r="P656" s="91">
        <v>33</v>
      </c>
      <c r="Q656" s="17">
        <v>12</v>
      </c>
      <c r="R656" s="17">
        <v>2</v>
      </c>
      <c r="S656" s="91">
        <f t="shared" si="280"/>
        <v>200</v>
      </c>
      <c r="T656" s="17">
        <f t="shared" si="281"/>
        <v>90</v>
      </c>
      <c r="U656" s="12">
        <v>113</v>
      </c>
      <c r="V656" s="16">
        <v>51</v>
      </c>
      <c r="W656" s="91">
        <f>I656+L656+O656+R656</f>
        <v>10</v>
      </c>
    </row>
    <row r="657" spans="1:24" ht="30" customHeight="1" x14ac:dyDescent="0.25">
      <c r="A657" s="145" t="s">
        <v>241</v>
      </c>
      <c r="B657" s="145">
        <v>61</v>
      </c>
      <c r="C657" s="11" t="s">
        <v>69</v>
      </c>
      <c r="D657" s="113" t="s">
        <v>183</v>
      </c>
      <c r="E657" s="11" t="s">
        <v>209</v>
      </c>
      <c r="F657" s="145" t="s">
        <v>105</v>
      </c>
      <c r="G657" s="146">
        <v>72</v>
      </c>
      <c r="H657" s="145">
        <v>38</v>
      </c>
      <c r="I657" s="145">
        <v>3.5</v>
      </c>
      <c r="J657" s="146">
        <f>67+30</f>
        <v>97</v>
      </c>
      <c r="K657" s="145">
        <f>36+13</f>
        <v>49</v>
      </c>
      <c r="L657" s="145">
        <v>3.5</v>
      </c>
      <c r="M657" s="146">
        <v>62</v>
      </c>
      <c r="N657" s="145">
        <v>35</v>
      </c>
      <c r="O657" s="145">
        <v>3</v>
      </c>
      <c r="P657" s="146">
        <v>70</v>
      </c>
      <c r="Q657" s="145">
        <v>34</v>
      </c>
      <c r="R657" s="145">
        <v>3</v>
      </c>
      <c r="S657" s="98">
        <f t="shared" si="280"/>
        <v>301</v>
      </c>
      <c r="T657" s="17">
        <f t="shared" si="281"/>
        <v>156</v>
      </c>
      <c r="U657" s="79">
        <v>74</v>
      </c>
      <c r="V657" s="22">
        <v>35</v>
      </c>
      <c r="W657" s="98">
        <f>I657+L657+O657+R657</f>
        <v>13</v>
      </c>
    </row>
    <row r="658" spans="1:24" ht="30" customHeight="1" x14ac:dyDescent="0.25">
      <c r="A658" s="17" t="s">
        <v>241</v>
      </c>
      <c r="B658" s="17">
        <v>62</v>
      </c>
      <c r="C658" s="48" t="s">
        <v>77</v>
      </c>
      <c r="D658" s="113" t="s">
        <v>184</v>
      </c>
      <c r="E658" s="11" t="s">
        <v>76</v>
      </c>
      <c r="F658" s="145" t="s">
        <v>106</v>
      </c>
      <c r="G658" s="146">
        <v>69</v>
      </c>
      <c r="H658" s="145">
        <v>26</v>
      </c>
      <c r="I658" s="17">
        <v>3</v>
      </c>
      <c r="J658" s="91">
        <v>83</v>
      </c>
      <c r="K658" s="17">
        <v>37</v>
      </c>
      <c r="L658" s="17">
        <v>3</v>
      </c>
      <c r="M658" s="91">
        <v>72</v>
      </c>
      <c r="N658" s="17">
        <v>35</v>
      </c>
      <c r="O658" s="17">
        <v>3</v>
      </c>
      <c r="P658" s="91">
        <v>74</v>
      </c>
      <c r="Q658" s="17">
        <v>38</v>
      </c>
      <c r="R658" s="17">
        <v>3</v>
      </c>
      <c r="S658" s="91">
        <f t="shared" si="280"/>
        <v>298</v>
      </c>
      <c r="T658" s="17">
        <f t="shared" si="281"/>
        <v>136</v>
      </c>
      <c r="U658" s="12">
        <v>37</v>
      </c>
      <c r="V658" s="16">
        <v>19</v>
      </c>
      <c r="W658" s="91">
        <f>I658+L658+O658+R658</f>
        <v>12</v>
      </c>
    </row>
    <row r="659" spans="1:24" ht="30" customHeight="1" x14ac:dyDescent="0.25">
      <c r="A659" s="17" t="s">
        <v>241</v>
      </c>
      <c r="B659" s="17">
        <v>63</v>
      </c>
      <c r="C659" s="48" t="s">
        <v>80</v>
      </c>
      <c r="D659" s="113" t="s">
        <v>185</v>
      </c>
      <c r="E659" s="11" t="s">
        <v>110</v>
      </c>
      <c r="F659" s="145" t="s">
        <v>107</v>
      </c>
      <c r="G659" s="146">
        <v>46</v>
      </c>
      <c r="H659" s="145">
        <v>21</v>
      </c>
      <c r="I659" s="17">
        <v>2</v>
      </c>
      <c r="J659" s="91">
        <v>59</v>
      </c>
      <c r="K659" s="17">
        <v>26</v>
      </c>
      <c r="L659" s="17">
        <v>2</v>
      </c>
      <c r="M659" s="8">
        <v>55</v>
      </c>
      <c r="N659" s="9">
        <v>23</v>
      </c>
      <c r="O659" s="17">
        <v>2</v>
      </c>
      <c r="P659" s="8">
        <v>41</v>
      </c>
      <c r="Q659" s="9">
        <v>27</v>
      </c>
      <c r="R659" s="17">
        <v>2</v>
      </c>
      <c r="S659" s="91">
        <f t="shared" si="280"/>
        <v>201</v>
      </c>
      <c r="T659" s="17">
        <f t="shared" si="281"/>
        <v>97</v>
      </c>
      <c r="U659" s="12">
        <v>31</v>
      </c>
      <c r="V659" s="16">
        <v>13</v>
      </c>
      <c r="W659" s="91">
        <f>I659+L659+O659+R659</f>
        <v>8</v>
      </c>
    </row>
    <row r="660" spans="1:24" ht="30" customHeight="1" x14ac:dyDescent="0.25">
      <c r="A660" s="17" t="s">
        <v>241</v>
      </c>
      <c r="B660" s="17">
        <v>63</v>
      </c>
      <c r="C660" s="48" t="s">
        <v>80</v>
      </c>
      <c r="D660" s="113" t="s">
        <v>186</v>
      </c>
      <c r="E660" s="11" t="s">
        <v>210</v>
      </c>
      <c r="F660" s="145" t="s">
        <v>107</v>
      </c>
      <c r="G660" s="146">
        <v>56</v>
      </c>
      <c r="H660" s="145">
        <v>26</v>
      </c>
      <c r="I660" s="17">
        <v>3</v>
      </c>
      <c r="J660" s="91">
        <f>52+28</f>
        <v>80</v>
      </c>
      <c r="K660" s="17">
        <f>24+14</f>
        <v>38</v>
      </c>
      <c r="L660" s="17">
        <v>3</v>
      </c>
      <c r="M660" s="8">
        <v>51</v>
      </c>
      <c r="N660" s="9">
        <v>25</v>
      </c>
      <c r="O660" s="17">
        <v>2</v>
      </c>
      <c r="P660" s="8">
        <v>56</v>
      </c>
      <c r="Q660" s="9">
        <v>31</v>
      </c>
      <c r="R660" s="17">
        <v>2</v>
      </c>
      <c r="S660" s="91">
        <f t="shared" si="280"/>
        <v>243</v>
      </c>
      <c r="T660" s="17">
        <f t="shared" si="281"/>
        <v>120</v>
      </c>
      <c r="U660" s="12">
        <v>108</v>
      </c>
      <c r="V660" s="16">
        <v>57</v>
      </c>
      <c r="W660" s="91">
        <f>I660+L660+O660+R660</f>
        <v>10</v>
      </c>
    </row>
    <row r="661" spans="1:24" ht="30" customHeight="1" x14ac:dyDescent="0.25">
      <c r="A661" s="145" t="s">
        <v>241</v>
      </c>
      <c r="B661" s="145">
        <v>68</v>
      </c>
      <c r="C661" s="11" t="s">
        <v>56</v>
      </c>
      <c r="D661" s="113" t="s">
        <v>187</v>
      </c>
      <c r="E661" s="11" t="s">
        <v>218</v>
      </c>
      <c r="F661" s="145" t="s">
        <v>105</v>
      </c>
      <c r="G661" s="146">
        <v>44</v>
      </c>
      <c r="H661" s="145">
        <v>25</v>
      </c>
      <c r="I661" s="145">
        <v>2</v>
      </c>
      <c r="J661" s="146">
        <f>42+9</f>
        <v>51</v>
      </c>
      <c r="K661" s="145">
        <f>13+3</f>
        <v>16</v>
      </c>
      <c r="L661" s="145">
        <v>2</v>
      </c>
      <c r="M661" s="146">
        <v>33</v>
      </c>
      <c r="N661" s="145">
        <v>18</v>
      </c>
      <c r="O661" s="145">
        <v>2</v>
      </c>
      <c r="P661" s="146">
        <v>27</v>
      </c>
      <c r="Q661" s="145">
        <v>12</v>
      </c>
      <c r="R661" s="145">
        <v>1</v>
      </c>
      <c r="S661" s="98">
        <f t="shared" si="280"/>
        <v>155</v>
      </c>
      <c r="T661" s="78">
        <f t="shared" si="281"/>
        <v>71</v>
      </c>
      <c r="U661" s="79">
        <v>5</v>
      </c>
      <c r="V661" s="22">
        <v>3</v>
      </c>
      <c r="W661" s="98">
        <f>I661+L661+O661+R661</f>
        <v>7</v>
      </c>
    </row>
    <row r="662" spans="1:24" s="111" customFormat="1" ht="30" customHeight="1" x14ac:dyDescent="0.25">
      <c r="A662" s="146" t="s">
        <v>241</v>
      </c>
      <c r="B662" s="133" t="s">
        <v>98</v>
      </c>
      <c r="C662" s="134"/>
      <c r="D662" s="134"/>
      <c r="E662" s="134"/>
      <c r="F662" s="132"/>
      <c r="G662" s="91">
        <f t="shared" ref="G662:L662" si="285">SUM(G656:G661)</f>
        <v>335</v>
      </c>
      <c r="H662" s="91">
        <f t="shared" si="285"/>
        <v>158</v>
      </c>
      <c r="I662" s="146">
        <f t="shared" si="285"/>
        <v>16.5</v>
      </c>
      <c r="J662" s="146">
        <f t="shared" si="285"/>
        <v>445</v>
      </c>
      <c r="K662" s="146">
        <f t="shared" si="285"/>
        <v>198</v>
      </c>
      <c r="L662" s="141">
        <f t="shared" si="285"/>
        <v>16.5</v>
      </c>
      <c r="M662" s="146">
        <f t="shared" ref="M662:R662" si="286">SUM(M656:M661)</f>
        <v>317</v>
      </c>
      <c r="N662" s="146">
        <f t="shared" si="286"/>
        <v>160</v>
      </c>
      <c r="O662" s="146">
        <f t="shared" si="286"/>
        <v>14</v>
      </c>
      <c r="P662" s="146">
        <f t="shared" si="286"/>
        <v>301</v>
      </c>
      <c r="Q662" s="146">
        <f t="shared" si="286"/>
        <v>154</v>
      </c>
      <c r="R662" s="146">
        <f t="shared" si="286"/>
        <v>13</v>
      </c>
      <c r="S662" s="128">
        <f t="shared" si="280"/>
        <v>1398</v>
      </c>
      <c r="T662" s="128">
        <f t="shared" si="281"/>
        <v>670</v>
      </c>
      <c r="U662" s="79">
        <f t="shared" ref="U662:W662" si="287">SUM(U656:U661)</f>
        <v>368</v>
      </c>
      <c r="V662" s="79">
        <f t="shared" si="287"/>
        <v>178</v>
      </c>
      <c r="W662" s="98">
        <f t="shared" si="287"/>
        <v>60</v>
      </c>
      <c r="X662" s="115"/>
    </row>
    <row r="663" spans="1:24" ht="30" customHeight="1" x14ac:dyDescent="0.25">
      <c r="A663" s="17" t="s">
        <v>241</v>
      </c>
      <c r="B663" s="17">
        <v>71</v>
      </c>
      <c r="C663" s="48" t="s">
        <v>71</v>
      </c>
      <c r="D663" s="113" t="s">
        <v>188</v>
      </c>
      <c r="E663" s="11" t="s">
        <v>39</v>
      </c>
      <c r="F663" s="145" t="s">
        <v>107</v>
      </c>
      <c r="G663" s="146">
        <v>52</v>
      </c>
      <c r="H663" s="145">
        <v>27</v>
      </c>
      <c r="I663" s="17">
        <v>2</v>
      </c>
      <c r="J663" s="91">
        <f>52+5</f>
        <v>57</v>
      </c>
      <c r="K663" s="17">
        <f>22+1</f>
        <v>23</v>
      </c>
      <c r="L663" s="17">
        <v>2</v>
      </c>
      <c r="M663" s="8">
        <v>56</v>
      </c>
      <c r="N663" s="9">
        <v>29</v>
      </c>
      <c r="O663" s="17">
        <v>2</v>
      </c>
      <c r="P663" s="8">
        <v>71</v>
      </c>
      <c r="Q663" s="9">
        <v>38</v>
      </c>
      <c r="R663" s="17">
        <v>3</v>
      </c>
      <c r="S663" s="91">
        <f t="shared" si="280"/>
        <v>236</v>
      </c>
      <c r="T663" s="17">
        <f t="shared" si="281"/>
        <v>117</v>
      </c>
      <c r="U663" s="12">
        <v>23</v>
      </c>
      <c r="V663" s="16">
        <v>10</v>
      </c>
      <c r="W663" s="91">
        <f>I663+L663+O663+R663</f>
        <v>9</v>
      </c>
    </row>
    <row r="664" spans="1:24" ht="30" customHeight="1" x14ac:dyDescent="0.25">
      <c r="A664" s="145" t="s">
        <v>241</v>
      </c>
      <c r="B664" s="145">
        <v>71</v>
      </c>
      <c r="C664" s="11" t="s">
        <v>71</v>
      </c>
      <c r="D664" s="113" t="s">
        <v>189</v>
      </c>
      <c r="E664" s="11" t="s">
        <v>28</v>
      </c>
      <c r="F664" s="145" t="s">
        <v>105</v>
      </c>
      <c r="G664" s="146">
        <v>33</v>
      </c>
      <c r="H664" s="145">
        <v>15</v>
      </c>
      <c r="I664" s="145">
        <v>2</v>
      </c>
      <c r="J664" s="146">
        <v>24</v>
      </c>
      <c r="K664" s="145">
        <v>13</v>
      </c>
      <c r="L664" s="145">
        <v>1</v>
      </c>
      <c r="M664" s="146">
        <v>38</v>
      </c>
      <c r="N664" s="145">
        <v>17</v>
      </c>
      <c r="O664" s="145">
        <v>2</v>
      </c>
      <c r="P664" s="146">
        <v>26</v>
      </c>
      <c r="Q664" s="145">
        <v>10</v>
      </c>
      <c r="R664" s="145">
        <v>1</v>
      </c>
      <c r="S664" s="91">
        <f t="shared" si="280"/>
        <v>121</v>
      </c>
      <c r="T664" s="17">
        <f t="shared" si="281"/>
        <v>55</v>
      </c>
      <c r="U664" s="79">
        <v>3</v>
      </c>
      <c r="V664" s="22">
        <v>1</v>
      </c>
      <c r="W664" s="91">
        <f>I664+L664+O664+R664</f>
        <v>6</v>
      </c>
    </row>
    <row r="665" spans="1:24" ht="30" customHeight="1" x14ac:dyDescent="0.25">
      <c r="A665" s="17" t="s">
        <v>241</v>
      </c>
      <c r="B665" s="17">
        <v>76</v>
      </c>
      <c r="C665" s="48" t="s">
        <v>78</v>
      </c>
      <c r="D665" s="113" t="s">
        <v>190</v>
      </c>
      <c r="E665" s="11" t="s">
        <v>224</v>
      </c>
      <c r="F665" s="145" t="s">
        <v>107</v>
      </c>
      <c r="G665" s="146">
        <v>30</v>
      </c>
      <c r="H665" s="145">
        <v>12</v>
      </c>
      <c r="I665" s="17">
        <v>1.5</v>
      </c>
      <c r="J665" s="91">
        <f>21+5</f>
        <v>26</v>
      </c>
      <c r="K665" s="17">
        <f>8+2</f>
        <v>10</v>
      </c>
      <c r="L665" s="17">
        <v>1.5</v>
      </c>
      <c r="M665" s="100">
        <v>31</v>
      </c>
      <c r="N665" s="9">
        <v>16</v>
      </c>
      <c r="O665" s="17">
        <v>1.5</v>
      </c>
      <c r="P665" s="8">
        <v>36</v>
      </c>
      <c r="Q665" s="9">
        <v>19</v>
      </c>
      <c r="R665" s="17">
        <v>1.5</v>
      </c>
      <c r="S665" s="91">
        <f t="shared" si="280"/>
        <v>123</v>
      </c>
      <c r="T665" s="17">
        <f t="shared" si="281"/>
        <v>57</v>
      </c>
      <c r="U665" s="12">
        <v>9</v>
      </c>
      <c r="V665" s="16">
        <v>4</v>
      </c>
      <c r="W665" s="91">
        <f>I665+L665+O665+R665</f>
        <v>6</v>
      </c>
    </row>
    <row r="666" spans="1:24" ht="30" customHeight="1" x14ac:dyDescent="0.25">
      <c r="A666" s="145" t="s">
        <v>241</v>
      </c>
      <c r="B666" s="145">
        <v>77</v>
      </c>
      <c r="C666" s="11" t="s">
        <v>59</v>
      </c>
      <c r="D666" s="113" t="s">
        <v>191</v>
      </c>
      <c r="E666" s="11" t="s">
        <v>20</v>
      </c>
      <c r="F666" s="145" t="s">
        <v>105</v>
      </c>
      <c r="G666" s="146">
        <v>52</v>
      </c>
      <c r="H666" s="145">
        <v>38</v>
      </c>
      <c r="I666" s="145">
        <v>2</v>
      </c>
      <c r="J666" s="146">
        <v>47</v>
      </c>
      <c r="K666" s="145">
        <v>20</v>
      </c>
      <c r="L666" s="145">
        <v>2</v>
      </c>
      <c r="M666" s="146">
        <v>54</v>
      </c>
      <c r="N666" s="145">
        <v>24</v>
      </c>
      <c r="O666" s="145">
        <v>2</v>
      </c>
      <c r="P666" s="146">
        <v>45</v>
      </c>
      <c r="Q666" s="145">
        <v>19</v>
      </c>
      <c r="R666" s="145">
        <v>2</v>
      </c>
      <c r="S666" s="98">
        <f t="shared" si="280"/>
        <v>198</v>
      </c>
      <c r="T666" s="78">
        <f t="shared" si="281"/>
        <v>101</v>
      </c>
      <c r="U666" s="79">
        <v>14</v>
      </c>
      <c r="V666" s="22">
        <v>11</v>
      </c>
      <c r="W666" s="98">
        <f>I666+L666+O666+R666</f>
        <v>8</v>
      </c>
    </row>
    <row r="667" spans="1:24" ht="30" customHeight="1" x14ac:dyDescent="0.25">
      <c r="A667" s="17" t="s">
        <v>241</v>
      </c>
      <c r="B667" s="17">
        <v>77</v>
      </c>
      <c r="C667" s="48" t="s">
        <v>59</v>
      </c>
      <c r="D667" s="113" t="s">
        <v>192</v>
      </c>
      <c r="E667" s="11" t="s">
        <v>40</v>
      </c>
      <c r="F667" s="145" t="s">
        <v>107</v>
      </c>
      <c r="G667" s="146">
        <v>44</v>
      </c>
      <c r="H667" s="145">
        <v>18</v>
      </c>
      <c r="I667" s="17">
        <v>2</v>
      </c>
      <c r="J667" s="91">
        <v>51</v>
      </c>
      <c r="K667" s="17">
        <v>31</v>
      </c>
      <c r="L667" s="17">
        <v>2</v>
      </c>
      <c r="M667" s="8">
        <v>37</v>
      </c>
      <c r="N667" s="9">
        <v>22</v>
      </c>
      <c r="O667" s="17">
        <v>2</v>
      </c>
      <c r="P667" s="8">
        <v>46</v>
      </c>
      <c r="Q667" s="9">
        <v>23</v>
      </c>
      <c r="R667" s="17">
        <v>2</v>
      </c>
      <c r="S667" s="91">
        <f t="shared" si="280"/>
        <v>178</v>
      </c>
      <c r="T667" s="17">
        <f t="shared" si="281"/>
        <v>94</v>
      </c>
      <c r="U667" s="12">
        <v>35</v>
      </c>
      <c r="V667" s="16">
        <v>20</v>
      </c>
      <c r="W667" s="91">
        <f>I667+L667+O667+R667</f>
        <v>8</v>
      </c>
    </row>
    <row r="668" spans="1:24" s="111" customFormat="1" ht="30" customHeight="1" x14ac:dyDescent="0.25">
      <c r="A668" s="146" t="s">
        <v>241</v>
      </c>
      <c r="B668" s="133" t="s">
        <v>97</v>
      </c>
      <c r="C668" s="134"/>
      <c r="D668" s="134"/>
      <c r="E668" s="134"/>
      <c r="F668" s="132"/>
      <c r="G668" s="91">
        <f t="shared" ref="G668:L668" si="288">SUM(G663:G667)</f>
        <v>211</v>
      </c>
      <c r="H668" s="91">
        <f t="shared" si="288"/>
        <v>110</v>
      </c>
      <c r="I668" s="146">
        <f t="shared" si="288"/>
        <v>9.5</v>
      </c>
      <c r="J668" s="146">
        <f t="shared" si="288"/>
        <v>205</v>
      </c>
      <c r="K668" s="146">
        <f t="shared" si="288"/>
        <v>97</v>
      </c>
      <c r="L668" s="141">
        <f t="shared" si="288"/>
        <v>8.5</v>
      </c>
      <c r="M668" s="146">
        <f t="shared" ref="M668:R668" si="289">SUM(M663:M667)</f>
        <v>216</v>
      </c>
      <c r="N668" s="146">
        <f t="shared" si="289"/>
        <v>108</v>
      </c>
      <c r="O668" s="146">
        <f t="shared" si="289"/>
        <v>9.5</v>
      </c>
      <c r="P668" s="146">
        <f t="shared" si="289"/>
        <v>224</v>
      </c>
      <c r="Q668" s="146">
        <f t="shared" si="289"/>
        <v>109</v>
      </c>
      <c r="R668" s="146">
        <f t="shared" si="289"/>
        <v>9.5</v>
      </c>
      <c r="S668" s="128">
        <f t="shared" si="280"/>
        <v>856</v>
      </c>
      <c r="T668" s="128">
        <f t="shared" si="281"/>
        <v>424</v>
      </c>
      <c r="U668" s="79">
        <f t="shared" ref="U668:W668" si="290">SUM(U663:U667)</f>
        <v>84</v>
      </c>
      <c r="V668" s="79">
        <f t="shared" si="290"/>
        <v>46</v>
      </c>
      <c r="W668" s="98">
        <f t="shared" si="290"/>
        <v>37</v>
      </c>
      <c r="X668" s="115"/>
    </row>
    <row r="669" spans="1:24" ht="30" customHeight="1" x14ac:dyDescent="0.25">
      <c r="A669" s="145" t="s">
        <v>241</v>
      </c>
      <c r="B669" s="145">
        <v>82</v>
      </c>
      <c r="C669" s="11" t="s">
        <v>58</v>
      </c>
      <c r="D669" s="113" t="s">
        <v>193</v>
      </c>
      <c r="E669" s="11" t="s">
        <v>19</v>
      </c>
      <c r="F669" s="145" t="s">
        <v>105</v>
      </c>
      <c r="G669" s="146">
        <v>85</v>
      </c>
      <c r="H669" s="145">
        <v>42</v>
      </c>
      <c r="I669" s="145">
        <v>4</v>
      </c>
      <c r="J669" s="146">
        <v>93</v>
      </c>
      <c r="K669" s="145">
        <v>48</v>
      </c>
      <c r="L669" s="145">
        <v>4</v>
      </c>
      <c r="M669" s="146">
        <v>84</v>
      </c>
      <c r="N669" s="145">
        <v>46</v>
      </c>
      <c r="O669" s="145">
        <v>4</v>
      </c>
      <c r="P669" s="146">
        <v>71</v>
      </c>
      <c r="Q669" s="145">
        <v>35</v>
      </c>
      <c r="R669" s="145">
        <v>3</v>
      </c>
      <c r="S669" s="98">
        <f t="shared" si="280"/>
        <v>333</v>
      </c>
      <c r="T669" s="78">
        <f t="shared" si="281"/>
        <v>171</v>
      </c>
      <c r="U669" s="79">
        <v>43</v>
      </c>
      <c r="V669" s="22">
        <v>22</v>
      </c>
      <c r="W669" s="98">
        <f>I669+L669+O669+R669</f>
        <v>15</v>
      </c>
    </row>
    <row r="670" spans="1:24" ht="46.5" customHeight="1" x14ac:dyDescent="0.25">
      <c r="A670" s="145" t="s">
        <v>241</v>
      </c>
      <c r="B670" s="145">
        <v>86</v>
      </c>
      <c r="C670" s="11" t="s">
        <v>49</v>
      </c>
      <c r="D670" s="113" t="s">
        <v>194</v>
      </c>
      <c r="E670" s="11" t="s">
        <v>219</v>
      </c>
      <c r="F670" s="145" t="s">
        <v>105</v>
      </c>
      <c r="G670" s="146">
        <v>44</v>
      </c>
      <c r="H670" s="145">
        <v>19</v>
      </c>
      <c r="I670" s="145">
        <v>2</v>
      </c>
      <c r="J670" s="146">
        <v>50</v>
      </c>
      <c r="K670" s="145">
        <v>19</v>
      </c>
      <c r="L670" s="145">
        <v>2</v>
      </c>
      <c r="M670" s="146">
        <v>48</v>
      </c>
      <c r="N670" s="145">
        <v>13</v>
      </c>
      <c r="O670" s="145">
        <v>2</v>
      </c>
      <c r="P670" s="146">
        <v>35</v>
      </c>
      <c r="Q670" s="145">
        <v>19</v>
      </c>
      <c r="R670" s="145">
        <v>2</v>
      </c>
      <c r="S670" s="98">
        <f t="shared" si="280"/>
        <v>177</v>
      </c>
      <c r="T670" s="78">
        <f t="shared" si="281"/>
        <v>70</v>
      </c>
      <c r="U670" s="79">
        <v>24</v>
      </c>
      <c r="V670" s="22">
        <v>9</v>
      </c>
      <c r="W670" s="98">
        <f>I670+L670+O670+R670</f>
        <v>8</v>
      </c>
    </row>
    <row r="671" spans="1:24" ht="30" customHeight="1" x14ac:dyDescent="0.25">
      <c r="A671" s="17" t="s">
        <v>241</v>
      </c>
      <c r="B671" s="17">
        <v>86</v>
      </c>
      <c r="C671" s="48" t="s">
        <v>49</v>
      </c>
      <c r="D671" s="113" t="s">
        <v>195</v>
      </c>
      <c r="E671" s="11" t="s">
        <v>37</v>
      </c>
      <c r="F671" s="145" t="s">
        <v>107</v>
      </c>
      <c r="G671" s="146">
        <v>67</v>
      </c>
      <c r="H671" s="145">
        <v>34</v>
      </c>
      <c r="I671" s="17">
        <v>3</v>
      </c>
      <c r="J671" s="91">
        <v>78</v>
      </c>
      <c r="K671" s="17">
        <v>43</v>
      </c>
      <c r="L671" s="17">
        <v>3</v>
      </c>
      <c r="M671" s="8">
        <v>55</v>
      </c>
      <c r="N671" s="9">
        <v>24</v>
      </c>
      <c r="O671" s="17">
        <v>3</v>
      </c>
      <c r="P671" s="8">
        <v>41</v>
      </c>
      <c r="Q671" s="9">
        <v>17</v>
      </c>
      <c r="R671" s="17">
        <v>2</v>
      </c>
      <c r="S671" s="91">
        <f t="shared" si="280"/>
        <v>241</v>
      </c>
      <c r="T671" s="17">
        <f t="shared" si="281"/>
        <v>118</v>
      </c>
      <c r="U671" s="12">
        <v>71</v>
      </c>
      <c r="V671" s="16">
        <v>33</v>
      </c>
      <c r="W671" s="91">
        <f>I671+L671+O671+R671</f>
        <v>11</v>
      </c>
    </row>
    <row r="672" spans="1:24" ht="30" customHeight="1" x14ac:dyDescent="0.25">
      <c r="A672" s="145" t="s">
        <v>241</v>
      </c>
      <c r="B672" s="145">
        <v>87</v>
      </c>
      <c r="C672" s="11" t="s">
        <v>68</v>
      </c>
      <c r="D672" s="113" t="s">
        <v>196</v>
      </c>
      <c r="E672" s="11" t="s">
        <v>132</v>
      </c>
      <c r="F672" s="145" t="s">
        <v>105</v>
      </c>
      <c r="G672" s="146">
        <v>87</v>
      </c>
      <c r="H672" s="145">
        <v>46</v>
      </c>
      <c r="I672" s="145">
        <v>4</v>
      </c>
      <c r="J672" s="146">
        <v>74</v>
      </c>
      <c r="K672" s="145">
        <v>44</v>
      </c>
      <c r="L672" s="145">
        <v>3</v>
      </c>
      <c r="M672" s="146">
        <v>78</v>
      </c>
      <c r="N672" s="145">
        <v>40</v>
      </c>
      <c r="O672" s="145">
        <v>3</v>
      </c>
      <c r="P672" s="146">
        <v>100</v>
      </c>
      <c r="Q672" s="145">
        <v>44</v>
      </c>
      <c r="R672" s="145">
        <v>4</v>
      </c>
      <c r="S672" s="98">
        <f t="shared" si="280"/>
        <v>339</v>
      </c>
      <c r="T672" s="78">
        <f t="shared" si="281"/>
        <v>174</v>
      </c>
      <c r="U672" s="79">
        <v>41</v>
      </c>
      <c r="V672" s="22">
        <v>21</v>
      </c>
      <c r="W672" s="98">
        <f>I672+L672+O672+R672</f>
        <v>14</v>
      </c>
    </row>
    <row r="673" spans="1:24" ht="30" customHeight="1" x14ac:dyDescent="0.25">
      <c r="A673" s="145" t="s">
        <v>241</v>
      </c>
      <c r="B673" s="17">
        <v>87</v>
      </c>
      <c r="C673" s="48" t="s">
        <v>68</v>
      </c>
      <c r="D673" s="113" t="s">
        <v>225</v>
      </c>
      <c r="E673" s="54" t="s">
        <v>233</v>
      </c>
      <c r="F673" s="145" t="s">
        <v>107</v>
      </c>
      <c r="G673" s="79">
        <v>49</v>
      </c>
      <c r="H673" s="22">
        <v>25</v>
      </c>
      <c r="I673" s="22">
        <v>2</v>
      </c>
      <c r="J673" s="146">
        <f>47+8</f>
        <v>55</v>
      </c>
      <c r="K673" s="145">
        <f>18+3</f>
        <v>21</v>
      </c>
      <c r="L673" s="145">
        <v>2</v>
      </c>
      <c r="M673" s="146">
        <v>52</v>
      </c>
      <c r="N673" s="145">
        <v>20</v>
      </c>
      <c r="O673" s="145">
        <v>2</v>
      </c>
      <c r="P673" s="345"/>
      <c r="Q673" s="346"/>
      <c r="R673" s="347"/>
      <c r="S673" s="98">
        <f t="shared" si="280"/>
        <v>156</v>
      </c>
      <c r="T673" s="78">
        <f t="shared" si="281"/>
        <v>66</v>
      </c>
      <c r="U673" s="12">
        <v>10</v>
      </c>
      <c r="V673" s="16">
        <v>5</v>
      </c>
      <c r="W673" s="98">
        <f>I673+L673+O673+R673</f>
        <v>6</v>
      </c>
    </row>
    <row r="674" spans="1:24" s="111" customFormat="1" ht="30" customHeight="1" x14ac:dyDescent="0.25">
      <c r="A674" s="146" t="s">
        <v>241</v>
      </c>
      <c r="B674" s="133" t="s">
        <v>99</v>
      </c>
      <c r="C674" s="134"/>
      <c r="D674" s="134"/>
      <c r="E674" s="134"/>
      <c r="F674" s="132"/>
      <c r="G674" s="91">
        <f t="shared" ref="G674:L674" si="291">SUM(G669:G673)</f>
        <v>332</v>
      </c>
      <c r="H674" s="91">
        <f t="shared" si="291"/>
        <v>166</v>
      </c>
      <c r="I674" s="146">
        <f t="shared" si="291"/>
        <v>15</v>
      </c>
      <c r="J674" s="146">
        <f t="shared" si="291"/>
        <v>350</v>
      </c>
      <c r="K674" s="146">
        <f t="shared" si="291"/>
        <v>175</v>
      </c>
      <c r="L674" s="140">
        <f t="shared" si="291"/>
        <v>14</v>
      </c>
      <c r="M674" s="146">
        <f>SUM(M669:M673)</f>
        <v>317</v>
      </c>
      <c r="N674" s="146">
        <f>SUM(N669:N673)</f>
        <v>143</v>
      </c>
      <c r="O674" s="146">
        <f>SUM(O669:O673)</f>
        <v>14</v>
      </c>
      <c r="P674" s="146">
        <f t="shared" ref="P674:R674" si="292">SUM(P669:P672)</f>
        <v>247</v>
      </c>
      <c r="Q674" s="146">
        <f t="shared" si="292"/>
        <v>115</v>
      </c>
      <c r="R674" s="146">
        <f t="shared" si="292"/>
        <v>11</v>
      </c>
      <c r="S674" s="128">
        <f t="shared" si="280"/>
        <v>1246</v>
      </c>
      <c r="T674" s="128">
        <f t="shared" si="281"/>
        <v>599</v>
      </c>
      <c r="U674" s="79">
        <f>SUM(U669:U673)</f>
        <v>189</v>
      </c>
      <c r="V674" s="79">
        <f>SUM(V669:V673)</f>
        <v>90</v>
      </c>
      <c r="W674" s="98">
        <f>SUM(W669:W673)</f>
        <v>54</v>
      </c>
      <c r="X674" s="115"/>
    </row>
    <row r="675" spans="1:24" ht="30" customHeight="1" x14ac:dyDescent="0.25">
      <c r="A675" s="145" t="s">
        <v>241</v>
      </c>
      <c r="B675" s="145">
        <v>95</v>
      </c>
      <c r="C675" s="11" t="s">
        <v>62</v>
      </c>
      <c r="D675" s="113" t="s">
        <v>226</v>
      </c>
      <c r="E675" s="11" t="s">
        <v>22</v>
      </c>
      <c r="F675" s="145" t="s">
        <v>105</v>
      </c>
      <c r="G675" s="146">
        <v>55</v>
      </c>
      <c r="H675" s="145">
        <v>29</v>
      </c>
      <c r="I675" s="145">
        <v>2</v>
      </c>
      <c r="J675" s="146">
        <f>53+3</f>
        <v>56</v>
      </c>
      <c r="K675" s="145">
        <f>27+2</f>
        <v>29</v>
      </c>
      <c r="L675" s="145">
        <v>2</v>
      </c>
      <c r="M675" s="146">
        <v>55</v>
      </c>
      <c r="N675" s="145">
        <v>28</v>
      </c>
      <c r="O675" s="145">
        <v>2</v>
      </c>
      <c r="P675" s="146">
        <v>42</v>
      </c>
      <c r="Q675" s="145">
        <v>25</v>
      </c>
      <c r="R675" s="145">
        <v>2</v>
      </c>
      <c r="S675" s="98">
        <f t="shared" si="280"/>
        <v>208</v>
      </c>
      <c r="T675" s="78">
        <f t="shared" si="281"/>
        <v>111</v>
      </c>
      <c r="U675" s="79">
        <v>3</v>
      </c>
      <c r="V675" s="22">
        <v>2</v>
      </c>
      <c r="W675" s="98">
        <f>I675+L675+O675+R675</f>
        <v>8</v>
      </c>
    </row>
    <row r="676" spans="1:24" ht="30" customHeight="1" x14ac:dyDescent="0.25">
      <c r="A676" s="145" t="s">
        <v>241</v>
      </c>
      <c r="B676" s="145">
        <v>96</v>
      </c>
      <c r="C676" s="11" t="s">
        <v>51</v>
      </c>
      <c r="D676" s="113" t="s">
        <v>227</v>
      </c>
      <c r="E676" s="11" t="s">
        <v>213</v>
      </c>
      <c r="F676" s="145" t="s">
        <v>105</v>
      </c>
      <c r="G676" s="146">
        <v>44</v>
      </c>
      <c r="H676" s="145">
        <v>23</v>
      </c>
      <c r="I676" s="145">
        <v>1.5</v>
      </c>
      <c r="J676" s="146">
        <f>24+6</f>
        <v>30</v>
      </c>
      <c r="K676" s="145">
        <f>14+5</f>
        <v>19</v>
      </c>
      <c r="L676" s="145">
        <v>1.5</v>
      </c>
      <c r="M676" s="146">
        <v>33</v>
      </c>
      <c r="N676" s="145">
        <v>13</v>
      </c>
      <c r="O676" s="145">
        <v>2</v>
      </c>
      <c r="P676" s="146">
        <v>28</v>
      </c>
      <c r="Q676" s="145">
        <v>9</v>
      </c>
      <c r="R676" s="145">
        <v>1</v>
      </c>
      <c r="S676" s="98">
        <f t="shared" si="280"/>
        <v>135</v>
      </c>
      <c r="T676" s="78">
        <f t="shared" si="281"/>
        <v>64</v>
      </c>
      <c r="U676" s="79">
        <v>17</v>
      </c>
      <c r="V676" s="22">
        <v>8</v>
      </c>
      <c r="W676" s="98">
        <f>I676+L676+O676+R676</f>
        <v>6</v>
      </c>
    </row>
    <row r="677" spans="1:24" ht="30" customHeight="1" x14ac:dyDescent="0.25">
      <c r="A677" s="17" t="s">
        <v>241</v>
      </c>
      <c r="B677" s="17">
        <v>96</v>
      </c>
      <c r="C677" s="48" t="s">
        <v>51</v>
      </c>
      <c r="D677" s="113" t="s">
        <v>228</v>
      </c>
      <c r="E677" s="11" t="s">
        <v>42</v>
      </c>
      <c r="F677" s="145" t="s">
        <v>107</v>
      </c>
      <c r="G677" s="146">
        <v>58</v>
      </c>
      <c r="H677" s="145">
        <v>24</v>
      </c>
      <c r="I677" s="17">
        <v>2</v>
      </c>
      <c r="J677" s="91">
        <v>50</v>
      </c>
      <c r="K677" s="17">
        <v>31</v>
      </c>
      <c r="L677" s="17">
        <v>2</v>
      </c>
      <c r="M677" s="8">
        <v>51</v>
      </c>
      <c r="N677" s="9">
        <v>25</v>
      </c>
      <c r="O677" s="17">
        <v>2</v>
      </c>
      <c r="P677" s="8">
        <v>56</v>
      </c>
      <c r="Q677" s="9">
        <v>31</v>
      </c>
      <c r="R677" s="17">
        <v>2</v>
      </c>
      <c r="S677" s="91">
        <f t="shared" si="280"/>
        <v>215</v>
      </c>
      <c r="T677" s="17">
        <f t="shared" si="281"/>
        <v>111</v>
      </c>
      <c r="U677" s="12">
        <v>24</v>
      </c>
      <c r="V677" s="16">
        <v>13</v>
      </c>
      <c r="W677" s="91">
        <f>I677+L677+O677+R677</f>
        <v>8</v>
      </c>
    </row>
    <row r="678" spans="1:24" ht="30" customHeight="1" x14ac:dyDescent="0.25">
      <c r="A678" s="17" t="s">
        <v>241</v>
      </c>
      <c r="B678" s="145">
        <v>97</v>
      </c>
      <c r="C678" s="11" t="s">
        <v>61</v>
      </c>
      <c r="D678" s="113" t="s">
        <v>229</v>
      </c>
      <c r="E678" s="11" t="s">
        <v>109</v>
      </c>
      <c r="F678" s="145" t="s">
        <v>105</v>
      </c>
      <c r="G678" s="146">
        <v>110</v>
      </c>
      <c r="H678" s="145">
        <v>57</v>
      </c>
      <c r="I678" s="145">
        <v>4</v>
      </c>
      <c r="J678" s="146">
        <v>115</v>
      </c>
      <c r="K678" s="145">
        <v>61</v>
      </c>
      <c r="L678" s="145">
        <v>4</v>
      </c>
      <c r="M678" s="146">
        <v>107</v>
      </c>
      <c r="N678" s="145">
        <v>53</v>
      </c>
      <c r="O678" s="145">
        <v>4</v>
      </c>
      <c r="P678" s="146">
        <v>106</v>
      </c>
      <c r="Q678" s="145">
        <v>50</v>
      </c>
      <c r="R678" s="145">
        <v>4</v>
      </c>
      <c r="S678" s="91">
        <f t="shared" si="280"/>
        <v>438</v>
      </c>
      <c r="T678" s="78">
        <f t="shared" si="281"/>
        <v>221</v>
      </c>
      <c r="U678" s="79">
        <v>39</v>
      </c>
      <c r="V678" s="22">
        <v>24</v>
      </c>
      <c r="W678" s="98">
        <f>I678+L678+O678+R678</f>
        <v>16</v>
      </c>
    </row>
    <row r="679" spans="1:24" ht="30" customHeight="1" x14ac:dyDescent="0.25">
      <c r="A679" s="145" t="s">
        <v>241</v>
      </c>
      <c r="B679" s="145">
        <v>98</v>
      </c>
      <c r="C679" s="11" t="s">
        <v>52</v>
      </c>
      <c r="D679" s="113" t="s">
        <v>230</v>
      </c>
      <c r="E679" s="11" t="s">
        <v>14</v>
      </c>
      <c r="F679" s="145" t="s">
        <v>105</v>
      </c>
      <c r="G679" s="146">
        <v>73</v>
      </c>
      <c r="H679" s="145">
        <v>35</v>
      </c>
      <c r="I679" s="145">
        <v>3</v>
      </c>
      <c r="J679" s="146">
        <v>59</v>
      </c>
      <c r="K679" s="145">
        <v>31</v>
      </c>
      <c r="L679" s="145">
        <v>3</v>
      </c>
      <c r="M679" s="146">
        <v>40</v>
      </c>
      <c r="N679" s="145">
        <v>23</v>
      </c>
      <c r="O679" s="145">
        <v>2</v>
      </c>
      <c r="P679" s="146">
        <v>75</v>
      </c>
      <c r="Q679" s="145">
        <v>34</v>
      </c>
      <c r="R679" s="145">
        <v>3</v>
      </c>
      <c r="S679" s="98">
        <f t="shared" si="280"/>
        <v>247</v>
      </c>
      <c r="T679" s="78">
        <f t="shared" si="281"/>
        <v>123</v>
      </c>
      <c r="U679" s="79">
        <v>26</v>
      </c>
      <c r="V679" s="22">
        <v>11</v>
      </c>
      <c r="W679" s="98">
        <f>I679+L679+O679+R679</f>
        <v>11</v>
      </c>
    </row>
    <row r="680" spans="1:24" ht="30" customHeight="1" x14ac:dyDescent="0.25">
      <c r="A680" s="145" t="s">
        <v>241</v>
      </c>
      <c r="B680" s="145">
        <v>98</v>
      </c>
      <c r="C680" s="11" t="s">
        <v>52</v>
      </c>
      <c r="D680" s="113" t="s">
        <v>231</v>
      </c>
      <c r="E680" s="11" t="s">
        <v>16</v>
      </c>
      <c r="F680" s="145" t="s">
        <v>105</v>
      </c>
      <c r="G680" s="146">
        <v>28</v>
      </c>
      <c r="H680" s="145">
        <v>13</v>
      </c>
      <c r="I680" s="145">
        <v>1</v>
      </c>
      <c r="J680" s="146">
        <v>29</v>
      </c>
      <c r="K680" s="145">
        <v>10</v>
      </c>
      <c r="L680" s="145">
        <v>1</v>
      </c>
      <c r="M680" s="146">
        <v>27</v>
      </c>
      <c r="N680" s="145">
        <v>17</v>
      </c>
      <c r="O680" s="145">
        <v>1</v>
      </c>
      <c r="P680" s="146">
        <v>28</v>
      </c>
      <c r="Q680" s="145">
        <v>12</v>
      </c>
      <c r="R680" s="145">
        <v>1</v>
      </c>
      <c r="S680" s="98">
        <f t="shared" si="280"/>
        <v>112</v>
      </c>
      <c r="T680" s="78">
        <f t="shared" si="281"/>
        <v>52</v>
      </c>
      <c r="U680" s="79">
        <v>3</v>
      </c>
      <c r="V680" s="22">
        <v>1</v>
      </c>
      <c r="W680" s="98">
        <f>I680+L680+O680+R680</f>
        <v>4</v>
      </c>
    </row>
    <row r="681" spans="1:24" s="111" customFormat="1" ht="30" customHeight="1" x14ac:dyDescent="0.25">
      <c r="A681" s="146" t="s">
        <v>241</v>
      </c>
      <c r="B681" s="126" t="s">
        <v>242</v>
      </c>
      <c r="C681" s="133"/>
      <c r="D681" s="134"/>
      <c r="E681" s="134"/>
      <c r="F681" s="132"/>
      <c r="G681" s="91">
        <f t="shared" ref="G681:L681" si="293">G675+G676+G677+G678+G679+G680</f>
        <v>368</v>
      </c>
      <c r="H681" s="91">
        <f t="shared" si="293"/>
        <v>181</v>
      </c>
      <c r="I681" s="91">
        <f t="shared" si="293"/>
        <v>13.5</v>
      </c>
      <c r="J681" s="91">
        <f t="shared" si="293"/>
        <v>339</v>
      </c>
      <c r="K681" s="91">
        <f t="shared" si="293"/>
        <v>181</v>
      </c>
      <c r="L681" s="91">
        <f t="shared" si="293"/>
        <v>13.5</v>
      </c>
      <c r="M681" s="91">
        <f t="shared" ref="M681:W681" si="294">M675+M676+M677+M678+M679+M680</f>
        <v>313</v>
      </c>
      <c r="N681" s="91">
        <f t="shared" si="294"/>
        <v>159</v>
      </c>
      <c r="O681" s="143">
        <f t="shared" si="294"/>
        <v>13</v>
      </c>
      <c r="P681" s="91">
        <f t="shared" si="294"/>
        <v>335</v>
      </c>
      <c r="Q681" s="91">
        <f t="shared" si="294"/>
        <v>161</v>
      </c>
      <c r="R681" s="143">
        <f t="shared" si="294"/>
        <v>13</v>
      </c>
      <c r="S681" s="8">
        <f t="shared" si="294"/>
        <v>1355</v>
      </c>
      <c r="T681" s="91">
        <f t="shared" si="294"/>
        <v>682</v>
      </c>
      <c r="U681" s="91">
        <f t="shared" si="294"/>
        <v>112</v>
      </c>
      <c r="V681" s="91">
        <f t="shared" si="294"/>
        <v>59</v>
      </c>
      <c r="W681" s="91">
        <f t="shared" si="294"/>
        <v>53</v>
      </c>
      <c r="X681" s="115"/>
    </row>
    <row r="682" spans="1:24" s="111" customFormat="1" ht="30" customHeight="1" x14ac:dyDescent="0.25">
      <c r="A682" s="146" t="s">
        <v>241</v>
      </c>
      <c r="B682" s="342" t="s">
        <v>243</v>
      </c>
      <c r="C682" s="342"/>
      <c r="D682" s="342"/>
      <c r="E682" s="342"/>
      <c r="F682" s="343"/>
      <c r="G682" s="128">
        <f t="shared" ref="G682:L682" si="295">G646+G655+G662+G668+G674+G681</f>
        <v>2560</v>
      </c>
      <c r="H682" s="128">
        <f t="shared" si="295"/>
        <v>1266</v>
      </c>
      <c r="I682" s="142">
        <f t="shared" si="295"/>
        <v>112.25</v>
      </c>
      <c r="J682" s="128">
        <f t="shared" si="295"/>
        <v>2716</v>
      </c>
      <c r="K682" s="128">
        <f t="shared" si="295"/>
        <v>1313</v>
      </c>
      <c r="L682" s="142">
        <f t="shared" si="295"/>
        <v>109.25</v>
      </c>
      <c r="M682" s="128">
        <f t="shared" ref="M682:W682" si="296">M646+M655+M662+M668+M674+M681</f>
        <v>2424</v>
      </c>
      <c r="N682" s="128">
        <f t="shared" si="296"/>
        <v>1194</v>
      </c>
      <c r="O682" s="142">
        <f t="shared" si="296"/>
        <v>105.25</v>
      </c>
      <c r="P682" s="128">
        <f t="shared" si="296"/>
        <v>2340</v>
      </c>
      <c r="Q682" s="128">
        <f t="shared" si="296"/>
        <v>1166</v>
      </c>
      <c r="R682" s="142">
        <f t="shared" si="296"/>
        <v>100.25</v>
      </c>
      <c r="S682" s="128">
        <f t="shared" si="296"/>
        <v>10040</v>
      </c>
      <c r="T682" s="128">
        <f t="shared" si="296"/>
        <v>4939</v>
      </c>
      <c r="U682" s="128">
        <f t="shared" si="296"/>
        <v>1380</v>
      </c>
      <c r="V682" s="128">
        <f t="shared" si="296"/>
        <v>680</v>
      </c>
      <c r="W682" s="128">
        <f t="shared" si="296"/>
        <v>427</v>
      </c>
      <c r="X682" s="115"/>
    </row>
  </sheetData>
  <mergeCells count="121">
    <mergeCell ref="B119:F119"/>
    <mergeCell ref="B120:F120"/>
    <mergeCell ref="B35:F35"/>
    <mergeCell ref="B42:F42"/>
    <mergeCell ref="B48:F48"/>
    <mergeCell ref="B82:F82"/>
    <mergeCell ref="B83:F83"/>
    <mergeCell ref="B92:F92"/>
    <mergeCell ref="B99:F99"/>
    <mergeCell ref="B105:F105"/>
    <mergeCell ref="B111:F111"/>
    <mergeCell ref="B54:F54"/>
    <mergeCell ref="B62:F62"/>
    <mergeCell ref="B63:F63"/>
    <mergeCell ref="B66:F66"/>
    <mergeCell ref="B72:F72"/>
    <mergeCell ref="B77:F77"/>
    <mergeCell ref="A3:A5"/>
    <mergeCell ref="J4:J5"/>
    <mergeCell ref="K4:K5"/>
    <mergeCell ref="M4:M5"/>
    <mergeCell ref="N4:N5"/>
    <mergeCell ref="O4:O5"/>
    <mergeCell ref="P4:P5"/>
    <mergeCell ref="Q4:Q5"/>
    <mergeCell ref="B26:F26"/>
    <mergeCell ref="R4:R5"/>
    <mergeCell ref="S3:V3"/>
    <mergeCell ref="W3:W5"/>
    <mergeCell ref="B20:F20"/>
    <mergeCell ref="B25:F25"/>
    <mergeCell ref="G3:I3"/>
    <mergeCell ref="J3:L3"/>
    <mergeCell ref="M3:O3"/>
    <mergeCell ref="P3:R3"/>
    <mergeCell ref="G4:G5"/>
    <mergeCell ref="H4:H5"/>
    <mergeCell ref="I4:I5"/>
    <mergeCell ref="F3:F5"/>
    <mergeCell ref="E3:E5"/>
    <mergeCell ref="D3:D5"/>
    <mergeCell ref="B3:C5"/>
    <mergeCell ref="S4:T4"/>
    <mergeCell ref="U4:V4"/>
    <mergeCell ref="B9:F9"/>
    <mergeCell ref="B15:F15"/>
    <mergeCell ref="L4:L5"/>
    <mergeCell ref="B123:F123"/>
    <mergeCell ref="B129:F129"/>
    <mergeCell ref="B134:F134"/>
    <mergeCell ref="B139:F139"/>
    <mergeCell ref="B206:F206"/>
    <mergeCell ref="B213:F213"/>
    <mergeCell ref="B219:F219"/>
    <mergeCell ref="B224:F224"/>
    <mergeCell ref="B232:F232"/>
    <mergeCell ref="B140:F140"/>
    <mergeCell ref="B149:F149"/>
    <mergeCell ref="B156:F156"/>
    <mergeCell ref="B162:F162"/>
    <mergeCell ref="B168:F168"/>
    <mergeCell ref="B176:F176"/>
    <mergeCell ref="B177:F177"/>
    <mergeCell ref="B180:F180"/>
    <mergeCell ref="B186:F186"/>
    <mergeCell ref="B191:F191"/>
    <mergeCell ref="B196:F196"/>
    <mergeCell ref="B197:F197"/>
    <mergeCell ref="B233:F233"/>
    <mergeCell ref="B309:F309"/>
    <mergeCell ref="B318:F318"/>
    <mergeCell ref="B325:F325"/>
    <mergeCell ref="B280:F280"/>
    <mergeCell ref="B288:F288"/>
    <mergeCell ref="B289:F289"/>
    <mergeCell ref="B292:F292"/>
    <mergeCell ref="B354:F354"/>
    <mergeCell ref="B298:F298"/>
    <mergeCell ref="B303:F303"/>
    <mergeCell ref="B308:F308"/>
    <mergeCell ref="B269:F269"/>
    <mergeCell ref="B275:F275"/>
    <mergeCell ref="B236:F236"/>
    <mergeCell ref="B242:F242"/>
    <mergeCell ref="B247:F247"/>
    <mergeCell ref="B252:F252"/>
    <mergeCell ref="B253:F253"/>
    <mergeCell ref="B262:F262"/>
    <mergeCell ref="B359:F359"/>
    <mergeCell ref="B364:F364"/>
    <mergeCell ref="B365:F365"/>
    <mergeCell ref="B374:F374"/>
    <mergeCell ref="B381:F381"/>
    <mergeCell ref="B331:F331"/>
    <mergeCell ref="B336:F336"/>
    <mergeCell ref="B344:F344"/>
    <mergeCell ref="B345:F345"/>
    <mergeCell ref="B348:F348"/>
    <mergeCell ref="B410:F410"/>
    <mergeCell ref="B415:F415"/>
    <mergeCell ref="B420:F420"/>
    <mergeCell ref="B421:F421"/>
    <mergeCell ref="B430:F430"/>
    <mergeCell ref="B437:F437"/>
    <mergeCell ref="B567:F567"/>
    <mergeCell ref="B387:F387"/>
    <mergeCell ref="B392:F392"/>
    <mergeCell ref="B400:F400"/>
    <mergeCell ref="B401:F401"/>
    <mergeCell ref="B404:F404"/>
    <mergeCell ref="B682:F682"/>
    <mergeCell ref="B625:F625"/>
    <mergeCell ref="M614:R614"/>
    <mergeCell ref="J558:R558"/>
    <mergeCell ref="B511:F511"/>
    <mergeCell ref="B443:F443"/>
    <mergeCell ref="B448:F448"/>
    <mergeCell ref="B455:F455"/>
    <mergeCell ref="B456:F456"/>
    <mergeCell ref="B626:F626"/>
    <mergeCell ref="P673:R673"/>
  </mergeCells>
  <pageMargins left="0.31496062992125984" right="0.27559055118110237" top="0.74803149606299213" bottom="0.84" header="0.51181102362204722" footer="0.49"/>
  <pageSetup paperSize="9" scale="74" fitToHeight="4" orientation="landscape" r:id="rId1"/>
  <headerFooter scaleWithDoc="0">
    <oddHeader xml:space="preserve">&amp;RAmt &amp;"Arial,Fett"für Schule und Weiterbildung       </oddHeader>
    <oddFooter>&amp;L&amp;8 &amp;X1)&amp;X Wenn der Unterricht jahrgangsübergreifend erteilt wird, handelt es sich bei der Anzahl der Klassen je Jahrgang um rechnerische Werte.</oddFooter>
  </headerFooter>
  <rowBreaks count="6" manualBreakCount="6">
    <brk id="581" max="16383" man="1"/>
    <brk id="596" max="16383" man="1"/>
    <brk id="609" max="16383" man="1"/>
    <brk id="640" min="1" max="24" man="1"/>
    <brk id="655" min="1" max="24" man="1"/>
    <brk id="668" min="1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Grundschulen</vt:lpstr>
      <vt:lpstr>Grundschulen!Druckbereich</vt:lpstr>
      <vt:lpstr>Grundschulen!Drucktitel</vt:lpstr>
    </vt:vector>
  </TitlesOfParts>
  <Company>citeq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Meyering</dc:creator>
  <cp:lastModifiedBy>Thomas Werner</cp:lastModifiedBy>
  <cp:lastPrinted>2021-12-06T07:26:12Z</cp:lastPrinted>
  <dcterms:created xsi:type="dcterms:W3CDTF">2010-10-20T08:36:49Z</dcterms:created>
  <dcterms:modified xsi:type="dcterms:W3CDTF">2022-09-19T12:17:09Z</dcterms:modified>
</cp:coreProperties>
</file>