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stadt-muenster.de\ds\0000\D18\18_01\3_DIGITALISIERUNG\Open-Data\Fachämter-Datensätze\40-Schule-und-Weiterbildung\Schulstatistik\veröffentlicht\"/>
    </mc:Choice>
  </mc:AlternateContent>
  <bookViews>
    <workbookView xWindow="240" yWindow="108" windowWidth="11532" windowHeight="6756" tabRatio="601"/>
  </bookViews>
  <sheets>
    <sheet name="Grunddaten" sheetId="1" r:id="rId1"/>
    <sheet name="Entw m_w" sheetId="4" state="hidden" r:id="rId2"/>
    <sheet name="Entw Ausl" sheetId="3" state="hidden" r:id="rId3"/>
  </sheets>
  <definedNames>
    <definedName name="_xlnm._FilterDatabase" localSheetId="0" hidden="1">Grunddaten!$A$4:$F$7</definedName>
    <definedName name="_xlnm.Print_Area" localSheetId="0">Grunddaten!$48:$60</definedName>
    <definedName name="_xlnm.Print_Titles" localSheetId="0">Grunddaten!$1:$7</definedName>
  </definedNames>
  <calcPr calcId="162913"/>
</workbook>
</file>

<file path=xl/calcChain.xml><?xml version="1.0" encoding="utf-8"?>
<calcChain xmlns="http://schemas.openxmlformats.org/spreadsheetml/2006/main">
  <c r="AL133" i="1" l="1"/>
  <c r="AL132" i="1"/>
  <c r="AH132" i="1"/>
  <c r="AH130" i="1"/>
  <c r="AI130" i="1"/>
  <c r="AH133" i="1" l="1"/>
  <c r="AH131" i="1"/>
  <c r="AI132" i="1" l="1"/>
  <c r="AJ134" i="1" l="1"/>
  <c r="AK134" i="1"/>
  <c r="AG134" i="1" l="1"/>
  <c r="AF134" i="1"/>
  <c r="AE134" i="1"/>
  <c r="AD134" i="1"/>
  <c r="AC134" i="1"/>
  <c r="AB134" i="1"/>
  <c r="Z134" i="1"/>
  <c r="Y134" i="1"/>
  <c r="X134" i="1"/>
  <c r="V134" i="1"/>
  <c r="U134" i="1"/>
  <c r="T134" i="1"/>
  <c r="R134" i="1"/>
  <c r="Q134" i="1"/>
  <c r="P134" i="1"/>
  <c r="N134" i="1"/>
  <c r="M134" i="1"/>
  <c r="L134" i="1"/>
  <c r="J134" i="1"/>
  <c r="I134" i="1"/>
  <c r="H134" i="1"/>
  <c r="F134" i="1"/>
  <c r="E134" i="1"/>
  <c r="D134" i="1"/>
  <c r="AI133" i="1"/>
  <c r="AL131" i="1"/>
  <c r="AI131" i="1"/>
  <c r="AL130" i="1"/>
  <c r="AL134" i="1" l="1"/>
  <c r="AH134" i="1"/>
  <c r="AI134" i="1"/>
  <c r="X128" i="1"/>
  <c r="Y128" i="1"/>
  <c r="Z128" i="1"/>
  <c r="AK128" i="1" l="1"/>
  <c r="AJ128" i="1"/>
  <c r="AG128" i="1"/>
  <c r="AF128" i="1"/>
  <c r="AE128" i="1"/>
  <c r="AD128" i="1"/>
  <c r="AC128" i="1"/>
  <c r="AB128" i="1"/>
  <c r="V128" i="1"/>
  <c r="U128" i="1"/>
  <c r="T128" i="1"/>
  <c r="R128" i="1"/>
  <c r="Q128" i="1"/>
  <c r="P128" i="1"/>
  <c r="N128" i="1"/>
  <c r="M128" i="1"/>
  <c r="L128" i="1"/>
  <c r="J128" i="1"/>
  <c r="I128" i="1"/>
  <c r="H128" i="1"/>
  <c r="F128" i="1"/>
  <c r="E128" i="1"/>
  <c r="D128" i="1"/>
  <c r="AL127" i="1"/>
  <c r="AI127" i="1"/>
  <c r="AH127" i="1"/>
  <c r="AL126" i="1"/>
  <c r="AI126" i="1"/>
  <c r="AH126" i="1"/>
  <c r="AL125" i="1"/>
  <c r="AI125" i="1"/>
  <c r="AH125" i="1"/>
  <c r="AL124" i="1"/>
  <c r="AI124" i="1"/>
  <c r="AH124" i="1"/>
  <c r="AH128" i="1" l="1"/>
  <c r="AL128" i="1"/>
  <c r="AI128" i="1"/>
  <c r="AL118" i="1"/>
  <c r="AL119" i="1"/>
  <c r="AK121" i="1" l="1"/>
  <c r="AJ121" i="1"/>
  <c r="AG121" i="1"/>
  <c r="AF121" i="1"/>
  <c r="AE121" i="1"/>
  <c r="AD121" i="1"/>
  <c r="AC121" i="1"/>
  <c r="AB121" i="1"/>
  <c r="Z121" i="1"/>
  <c r="Y121" i="1"/>
  <c r="X121" i="1"/>
  <c r="V121" i="1"/>
  <c r="U121" i="1"/>
  <c r="T121" i="1"/>
  <c r="R121" i="1"/>
  <c r="Q121" i="1"/>
  <c r="P121" i="1"/>
  <c r="N121" i="1"/>
  <c r="M121" i="1"/>
  <c r="L121" i="1"/>
  <c r="J121" i="1"/>
  <c r="I121" i="1"/>
  <c r="H121" i="1"/>
  <c r="F121" i="1"/>
  <c r="E121" i="1"/>
  <c r="D121" i="1"/>
  <c r="AL120" i="1"/>
  <c r="AI120" i="1"/>
  <c r="AH120" i="1"/>
  <c r="AI119" i="1"/>
  <c r="AH119" i="1"/>
  <c r="AI118" i="1"/>
  <c r="AH118" i="1"/>
  <c r="AL117" i="1"/>
  <c r="AI117" i="1"/>
  <c r="AH117" i="1"/>
  <c r="AI121" i="1" l="1"/>
  <c r="AH121" i="1"/>
  <c r="AL121" i="1"/>
  <c r="AK113" i="1"/>
  <c r="AJ113" i="1"/>
  <c r="AG113" i="1"/>
  <c r="AF113" i="1"/>
  <c r="AE113" i="1"/>
  <c r="AD113" i="1"/>
  <c r="AC113" i="1"/>
  <c r="AB113" i="1"/>
  <c r="Z113" i="1"/>
  <c r="V113" i="1"/>
  <c r="U113" i="1"/>
  <c r="T113" i="1"/>
  <c r="R113" i="1"/>
  <c r="Q113" i="1"/>
  <c r="P113" i="1"/>
  <c r="N113" i="1"/>
  <c r="M113" i="1"/>
  <c r="L113" i="1"/>
  <c r="J113" i="1"/>
  <c r="I113" i="1"/>
  <c r="H113" i="1"/>
  <c r="F113" i="1"/>
  <c r="E113" i="1"/>
  <c r="D113" i="1"/>
  <c r="AL112" i="1"/>
  <c r="AI112" i="1"/>
  <c r="AH112" i="1"/>
  <c r="AL111" i="1"/>
  <c r="AI111" i="1"/>
  <c r="AH111" i="1"/>
  <c r="AL110" i="1"/>
  <c r="AI110" i="1"/>
  <c r="AH110" i="1"/>
  <c r="AL109" i="1"/>
  <c r="AI109" i="1"/>
  <c r="AH109" i="1"/>
  <c r="AL108" i="1"/>
  <c r="Y113" i="1"/>
  <c r="X113" i="1"/>
  <c r="AL113" i="1" l="1"/>
  <c r="AI108" i="1"/>
  <c r="AI113" i="1" s="1"/>
  <c r="AH108" i="1"/>
  <c r="AH113" i="1" s="1"/>
  <c r="AH101" i="1" l="1"/>
  <c r="Y98" i="1"/>
  <c r="X98" i="1"/>
  <c r="AH98" i="1" l="1"/>
  <c r="AK103" i="1"/>
  <c r="AJ103" i="1"/>
  <c r="AG103" i="1"/>
  <c r="AD103" i="1"/>
  <c r="AC103" i="1"/>
  <c r="AB103" i="1"/>
  <c r="Z103" i="1"/>
  <c r="V103" i="1"/>
  <c r="R103" i="1"/>
  <c r="N103" i="1"/>
  <c r="L103" i="1"/>
  <c r="J103" i="1"/>
  <c r="I103" i="1"/>
  <c r="H103" i="1"/>
  <c r="F103" i="1"/>
  <c r="E103" i="1"/>
  <c r="D103" i="1"/>
  <c r="AL102" i="1"/>
  <c r="AI102" i="1"/>
  <c r="AH102" i="1"/>
  <c r="AL101" i="1"/>
  <c r="AI101" i="1"/>
  <c r="AL100" i="1"/>
  <c r="M103" i="1"/>
  <c r="AH100" i="1"/>
  <c r="AL99" i="1"/>
  <c r="AI99" i="1"/>
  <c r="AH99" i="1"/>
  <c r="AL98" i="1"/>
  <c r="AF103" i="1"/>
  <c r="AE103" i="1"/>
  <c r="Y103" i="1"/>
  <c r="X103" i="1"/>
  <c r="U103" i="1"/>
  <c r="T103" i="1"/>
  <c r="Q103" i="1"/>
  <c r="P103" i="1"/>
  <c r="AL103" i="1" l="1"/>
  <c r="AI98" i="1"/>
  <c r="AI100" i="1"/>
  <c r="AH103" i="1"/>
  <c r="AH91" i="1"/>
  <c r="AI103" i="1" l="1"/>
  <c r="AF90" i="1"/>
  <c r="AE90" i="1"/>
  <c r="U90" i="1"/>
  <c r="T90" i="1"/>
  <c r="Q90" i="1"/>
  <c r="P90" i="1"/>
  <c r="AH90" i="1" s="1"/>
  <c r="M90" i="1"/>
  <c r="M93" i="1" s="1"/>
  <c r="L90" i="1"/>
  <c r="L93" i="1" s="1"/>
  <c r="AF88" i="1"/>
  <c r="AF93" i="1" s="1"/>
  <c r="AE88" i="1"/>
  <c r="AE93" i="1" s="1"/>
  <c r="Q88" i="1"/>
  <c r="P88" i="1"/>
  <c r="Y88" i="1"/>
  <c r="Y93" i="1" s="1"/>
  <c r="X88" i="1"/>
  <c r="X93" i="1" s="1"/>
  <c r="U88" i="1"/>
  <c r="U93" i="1" s="1"/>
  <c r="T88" i="1"/>
  <c r="AL87" i="1"/>
  <c r="AL88" i="1"/>
  <c r="AK93" i="1"/>
  <c r="AJ93" i="1"/>
  <c r="AG93" i="1"/>
  <c r="AD93" i="1"/>
  <c r="AC93" i="1"/>
  <c r="AB93" i="1"/>
  <c r="Z93" i="1"/>
  <c r="V93" i="1"/>
  <c r="R93" i="1"/>
  <c r="N93" i="1"/>
  <c r="J93" i="1"/>
  <c r="I93" i="1"/>
  <c r="H93" i="1"/>
  <c r="F93" i="1"/>
  <c r="E93" i="1"/>
  <c r="D93" i="1"/>
  <c r="AL92" i="1"/>
  <c r="AI92" i="1"/>
  <c r="AH92" i="1"/>
  <c r="AL91" i="1"/>
  <c r="AI91" i="1"/>
  <c r="AL90" i="1"/>
  <c r="AL89" i="1"/>
  <c r="AI89" i="1"/>
  <c r="AH89" i="1"/>
  <c r="AI87" i="1"/>
  <c r="AH87" i="1"/>
  <c r="P93" i="1" l="1"/>
  <c r="AI88" i="1"/>
  <c r="T93" i="1"/>
  <c r="Q93" i="1"/>
  <c r="AI90" i="1"/>
  <c r="AI93" i="1" s="1"/>
  <c r="AH88" i="1"/>
  <c r="AH93" i="1" s="1"/>
  <c r="AL93" i="1"/>
  <c r="AL82" i="1" l="1"/>
  <c r="AL78" i="1"/>
  <c r="AL81" i="1" l="1"/>
  <c r="AL80" i="1" l="1"/>
  <c r="AL79" i="1" l="1"/>
  <c r="AK83" i="1" l="1"/>
  <c r="AJ83" i="1"/>
  <c r="AD83" i="1"/>
  <c r="AC83" i="1"/>
  <c r="AB83" i="1"/>
  <c r="Z83" i="1"/>
  <c r="Y83" i="1"/>
  <c r="X83" i="1"/>
  <c r="V83" i="1"/>
  <c r="U83" i="1"/>
  <c r="T83" i="1"/>
  <c r="J83" i="1"/>
  <c r="I83" i="1"/>
  <c r="H83" i="1"/>
  <c r="F83" i="1"/>
  <c r="E83" i="1"/>
  <c r="D83" i="1"/>
  <c r="AI82" i="1"/>
  <c r="AH82" i="1"/>
  <c r="AI81" i="1"/>
  <c r="AH81" i="1"/>
  <c r="AI80" i="1"/>
  <c r="AH80" i="1"/>
  <c r="AI79" i="1"/>
  <c r="AH79" i="1"/>
  <c r="AG83" i="1"/>
  <c r="AF83" i="1"/>
  <c r="AE83" i="1"/>
  <c r="R83" i="1"/>
  <c r="Q83" i="1"/>
  <c r="P83" i="1"/>
  <c r="N83" i="1"/>
  <c r="AI78" i="1"/>
  <c r="L83" i="1"/>
  <c r="AI77" i="1"/>
  <c r="AH77" i="1"/>
  <c r="AI83" i="1" l="1"/>
  <c r="AL83" i="1"/>
  <c r="AH78" i="1"/>
  <c r="AH83" i="1" s="1"/>
  <c r="M83" i="1"/>
  <c r="AG62" i="1"/>
  <c r="AF62" i="1"/>
  <c r="AE62" i="1"/>
  <c r="R62" i="1"/>
  <c r="Q62" i="1"/>
  <c r="P62" i="1"/>
  <c r="N62" i="1"/>
  <c r="M62" i="1"/>
  <c r="L62" i="1"/>
  <c r="AK67" i="1" l="1"/>
  <c r="AJ67" i="1"/>
  <c r="AG67" i="1"/>
  <c r="AD67" i="1"/>
  <c r="Z67" i="1"/>
  <c r="V67" i="1"/>
  <c r="R67" i="1"/>
  <c r="N67" i="1"/>
  <c r="J67" i="1"/>
  <c r="F67" i="1"/>
  <c r="AL66" i="1"/>
  <c r="AI66" i="1"/>
  <c r="AH66" i="1"/>
  <c r="AL65" i="1"/>
  <c r="AI65" i="1"/>
  <c r="AH65" i="1"/>
  <c r="AL64" i="1"/>
  <c r="Y67" i="1"/>
  <c r="Q67" i="1"/>
  <c r="I67" i="1"/>
  <c r="AI64" i="1"/>
  <c r="AH64" i="1"/>
  <c r="AL63" i="1"/>
  <c r="AI63" i="1"/>
  <c r="AH63" i="1"/>
  <c r="AL62" i="1"/>
  <c r="AI62" i="1"/>
  <c r="AF67" i="1"/>
  <c r="AE67" i="1"/>
  <c r="H67" i="1"/>
  <c r="E67" i="1"/>
  <c r="AH62" i="1"/>
  <c r="AL61" i="1"/>
  <c r="AI61" i="1"/>
  <c r="AH61" i="1"/>
  <c r="AL60" i="1"/>
  <c r="AC67" i="1"/>
  <c r="AB67" i="1"/>
  <c r="X67" i="1"/>
  <c r="U67" i="1"/>
  <c r="T67" i="1"/>
  <c r="P67" i="1"/>
  <c r="M67" i="1"/>
  <c r="L67" i="1"/>
  <c r="AL67" i="1" l="1"/>
  <c r="AH60" i="1"/>
  <c r="AH67" i="1" s="1"/>
  <c r="D67" i="1"/>
  <c r="AI60" i="1"/>
  <c r="AI67" i="1" s="1"/>
  <c r="E50" i="1"/>
  <c r="I50" i="1"/>
  <c r="M50" i="1"/>
  <c r="Q50" i="1"/>
  <c r="U50" i="1"/>
  <c r="Y50" i="1"/>
  <c r="AF50" i="1"/>
  <c r="AF55" i="1" s="1"/>
  <c r="AL50" i="1"/>
  <c r="AB50" i="1"/>
  <c r="X50" i="1"/>
  <c r="T50" i="1"/>
  <c r="P50" i="1"/>
  <c r="L50" i="1"/>
  <c r="AE50" i="1"/>
  <c r="AE55" i="1" s="1"/>
  <c r="H50" i="1"/>
  <c r="D50" i="1"/>
  <c r="X53" i="1"/>
  <c r="U53" i="1"/>
  <c r="T53" i="1"/>
  <c r="Q53" i="1"/>
  <c r="P53" i="1"/>
  <c r="M53" i="1"/>
  <c r="L53" i="1"/>
  <c r="I53" i="1"/>
  <c r="H53" i="1"/>
  <c r="D53" i="1"/>
  <c r="M54" i="1"/>
  <c r="I54" i="1"/>
  <c r="T54" i="1"/>
  <c r="D54" i="1"/>
  <c r="H54" i="1"/>
  <c r="L54" i="1"/>
  <c r="P54" i="1"/>
  <c r="E54" i="1"/>
  <c r="Q54" i="1"/>
  <c r="U54" i="1"/>
  <c r="T52" i="1"/>
  <c r="E52" i="1"/>
  <c r="I52" i="1"/>
  <c r="M52" i="1"/>
  <c r="Q52" i="1"/>
  <c r="U52" i="1"/>
  <c r="Y52" i="1"/>
  <c r="D52" i="1"/>
  <c r="H52" i="1"/>
  <c r="L52" i="1"/>
  <c r="P52" i="1"/>
  <c r="X52" i="1"/>
  <c r="Q51" i="1"/>
  <c r="E51" i="1"/>
  <c r="I51" i="1"/>
  <c r="M51" i="1"/>
  <c r="U51" i="1"/>
  <c r="D51" i="1"/>
  <c r="H51" i="1"/>
  <c r="L51" i="1"/>
  <c r="P51" i="1"/>
  <c r="T51" i="1"/>
  <c r="M48" i="1"/>
  <c r="Q48" i="1"/>
  <c r="U48" i="1"/>
  <c r="Y48" i="1"/>
  <c r="AC48" i="1"/>
  <c r="L48" i="1"/>
  <c r="P48" i="1"/>
  <c r="T48" i="1"/>
  <c r="X48" i="1"/>
  <c r="AB48" i="1"/>
  <c r="AL49" i="1"/>
  <c r="AI49" i="1"/>
  <c r="AH49" i="1"/>
  <c r="DB18" i="3"/>
  <c r="CW18" i="3"/>
  <c r="DC18" i="3" s="1"/>
  <c r="CZ18" i="3"/>
  <c r="CX10" i="3"/>
  <c r="CY10" i="3" s="1"/>
  <c r="CX11" i="3"/>
  <c r="CX13" i="3"/>
  <c r="CY13" i="3" s="1"/>
  <c r="CX14" i="3"/>
  <c r="CX15" i="3"/>
  <c r="CY15" i="3" s="1"/>
  <c r="CX16" i="3"/>
  <c r="CX18" i="3"/>
  <c r="CY18" i="3" s="1"/>
  <c r="DC16" i="3"/>
  <c r="DA16" i="3"/>
  <c r="CY16" i="3"/>
  <c r="DC15" i="3"/>
  <c r="DA15" i="3"/>
  <c r="DC14" i="3"/>
  <c r="DA14" i="3"/>
  <c r="CY14" i="3"/>
  <c r="DC13" i="3"/>
  <c r="DA13" i="3"/>
  <c r="DC12" i="3"/>
  <c r="DA12" i="3"/>
  <c r="CY12" i="3"/>
  <c r="DC11" i="3"/>
  <c r="DA11" i="3"/>
  <c r="CY11" i="3"/>
  <c r="DC10" i="3"/>
  <c r="DA10" i="3"/>
  <c r="BS18" i="4"/>
  <c r="BP18" i="4"/>
  <c r="BQ10" i="4"/>
  <c r="BQ11" i="4"/>
  <c r="BR11" i="4" s="1"/>
  <c r="BQ12" i="4"/>
  <c r="BQ13" i="4"/>
  <c r="BR13" i="4" s="1"/>
  <c r="BQ14" i="4"/>
  <c r="BQ15" i="4"/>
  <c r="BR15" i="4" s="1"/>
  <c r="BQ16" i="4"/>
  <c r="BT16" i="4"/>
  <c r="BR16" i="4"/>
  <c r="BT15" i="4"/>
  <c r="BT14" i="4"/>
  <c r="BR14" i="4"/>
  <c r="BT13" i="4"/>
  <c r="BT12" i="4"/>
  <c r="BR12" i="4"/>
  <c r="BT11" i="4"/>
  <c r="BT10" i="4"/>
  <c r="BR10" i="4"/>
  <c r="F55" i="1"/>
  <c r="J55" i="1"/>
  <c r="N55" i="1"/>
  <c r="R55" i="1"/>
  <c r="V55" i="1"/>
  <c r="Z55" i="1"/>
  <c r="AD55" i="1"/>
  <c r="AG55" i="1"/>
  <c r="AK55" i="1"/>
  <c r="AJ55" i="1"/>
  <c r="AC55" i="1"/>
  <c r="AL54" i="1"/>
  <c r="AL53" i="1"/>
  <c r="AL52" i="1"/>
  <c r="AL51" i="1"/>
  <c r="AL48" i="1"/>
  <c r="U36" i="1"/>
  <c r="T36" i="1"/>
  <c r="Q36" i="1"/>
  <c r="P36" i="1"/>
  <c r="M36" i="1"/>
  <c r="L36" i="1"/>
  <c r="I36" i="1"/>
  <c r="H36" i="1"/>
  <c r="CQ16" i="3"/>
  <c r="CR16" i="3" s="1"/>
  <c r="BL15" i="4"/>
  <c r="H38" i="1"/>
  <c r="D38" i="1"/>
  <c r="P39" i="1"/>
  <c r="M39" i="1"/>
  <c r="L39" i="1"/>
  <c r="I39" i="1"/>
  <c r="H39" i="1"/>
  <c r="E39" i="1"/>
  <c r="D39" i="1"/>
  <c r="U39" i="1"/>
  <c r="Q39" i="1"/>
  <c r="AF35" i="1"/>
  <c r="AF40" i="1" s="1"/>
  <c r="AE35" i="1"/>
  <c r="AE40" i="1" s="1"/>
  <c r="U35" i="1"/>
  <c r="T35" i="1"/>
  <c r="M35" i="1"/>
  <c r="L35" i="1"/>
  <c r="I35" i="1"/>
  <c r="H35" i="1"/>
  <c r="E35" i="1"/>
  <c r="D35" i="1"/>
  <c r="U34" i="1"/>
  <c r="T34" i="1"/>
  <c r="Q34" i="1"/>
  <c r="AI34" i="1" s="1"/>
  <c r="P34" i="1"/>
  <c r="L33" i="1"/>
  <c r="U33" i="1"/>
  <c r="T33" i="1"/>
  <c r="Q33" i="1"/>
  <c r="P33" i="1"/>
  <c r="M33" i="1"/>
  <c r="I33" i="1"/>
  <c r="H33" i="1"/>
  <c r="CU18" i="3"/>
  <c r="CP18" i="3"/>
  <c r="CV18" i="3" s="1"/>
  <c r="CS18" i="3"/>
  <c r="CQ10" i="3"/>
  <c r="CQ11" i="3"/>
  <c r="CQ13" i="3"/>
  <c r="CR13" i="3" s="1"/>
  <c r="CQ14" i="3"/>
  <c r="CQ15" i="3"/>
  <c r="CR15" i="3" s="1"/>
  <c r="CV16" i="3"/>
  <c r="CT16" i="3"/>
  <c r="CV15" i="3"/>
  <c r="CT15" i="3"/>
  <c r="CV14" i="3"/>
  <c r="CT14" i="3"/>
  <c r="CR14" i="3"/>
  <c r="CV13" i="3"/>
  <c r="CT13" i="3"/>
  <c r="CV12" i="3"/>
  <c r="CT12" i="3"/>
  <c r="CR12" i="3"/>
  <c r="CV11" i="3"/>
  <c r="CT11" i="3"/>
  <c r="CR11" i="3"/>
  <c r="CV10" i="3"/>
  <c r="CT10" i="3"/>
  <c r="BN18" i="4"/>
  <c r="BK18" i="4"/>
  <c r="BO18" i="4"/>
  <c r="BL10" i="4"/>
  <c r="BL11" i="4"/>
  <c r="BL12" i="4"/>
  <c r="BL13" i="4"/>
  <c r="BL14" i="4"/>
  <c r="BL16" i="4"/>
  <c r="BO16" i="4"/>
  <c r="BM16" i="4"/>
  <c r="BO15" i="4"/>
  <c r="BM15" i="4"/>
  <c r="BO14" i="4"/>
  <c r="BM14" i="4"/>
  <c r="BO13" i="4"/>
  <c r="BM13" i="4"/>
  <c r="BO12" i="4"/>
  <c r="BM12" i="4"/>
  <c r="BO11" i="4"/>
  <c r="BM11" i="4"/>
  <c r="BO10" i="4"/>
  <c r="BM10" i="4"/>
  <c r="F40" i="1"/>
  <c r="J40" i="1"/>
  <c r="N40" i="1"/>
  <c r="R40" i="1"/>
  <c r="V40" i="1"/>
  <c r="Z40" i="1"/>
  <c r="AD40" i="1"/>
  <c r="AG40" i="1"/>
  <c r="AK40" i="1"/>
  <c r="AJ40" i="1"/>
  <c r="AI37" i="1"/>
  <c r="AI38" i="1"/>
  <c r="AH37" i="1"/>
  <c r="AC40" i="1"/>
  <c r="AB40" i="1"/>
  <c r="Y40" i="1"/>
  <c r="X40" i="1"/>
  <c r="AL39" i="1"/>
  <c r="AL38" i="1"/>
  <c r="AL37" i="1"/>
  <c r="AL36" i="1"/>
  <c r="AL35" i="1"/>
  <c r="AL34" i="1"/>
  <c r="AL33" i="1"/>
  <c r="BG13" i="4"/>
  <c r="T21" i="1"/>
  <c r="T26" i="1" s="1"/>
  <c r="Q21" i="1"/>
  <c r="Q26" i="1" s="1"/>
  <c r="P21" i="1"/>
  <c r="P26" i="1" s="1"/>
  <c r="M21" i="1"/>
  <c r="M26" i="1" s="1"/>
  <c r="L21" i="1"/>
  <c r="L26" i="1" s="1"/>
  <c r="D21" i="1"/>
  <c r="D26" i="1" s="1"/>
  <c r="AF21" i="1"/>
  <c r="AF26" i="1" s="1"/>
  <c r="AE21" i="1"/>
  <c r="I21" i="1"/>
  <c r="I26" i="1" s="1"/>
  <c r="H21" i="1"/>
  <c r="H26" i="1" s="1"/>
  <c r="E21" i="1"/>
  <c r="CN18" i="3"/>
  <c r="CI18" i="3"/>
  <c r="CL18" i="3"/>
  <c r="CJ10" i="3"/>
  <c r="CK10" i="3" s="1"/>
  <c r="CJ11" i="3"/>
  <c r="CJ13" i="3"/>
  <c r="CK13" i="3" s="1"/>
  <c r="CJ14" i="3"/>
  <c r="CK14" i="3" s="1"/>
  <c r="CJ15" i="3"/>
  <c r="CK15" i="3" s="1"/>
  <c r="CJ16" i="3"/>
  <c r="CK16" i="3" s="1"/>
  <c r="CO16" i="3"/>
  <c r="CM16" i="3"/>
  <c r="CO15" i="3"/>
  <c r="CM15" i="3"/>
  <c r="CO14" i="3"/>
  <c r="CM14" i="3"/>
  <c r="CO13" i="3"/>
  <c r="CM13" i="3"/>
  <c r="CO12" i="3"/>
  <c r="CM12" i="3"/>
  <c r="CK12" i="3"/>
  <c r="CO11" i="3"/>
  <c r="CM11" i="3"/>
  <c r="CO10" i="3"/>
  <c r="CM10" i="3"/>
  <c r="BI18" i="4"/>
  <c r="BF18" i="4"/>
  <c r="BJ18" i="4" s="1"/>
  <c r="BG10" i="4"/>
  <c r="BH10" i="4" s="1"/>
  <c r="BG11" i="4"/>
  <c r="BG12" i="4"/>
  <c r="BH12" i="4" s="1"/>
  <c r="BG14" i="4"/>
  <c r="BG15" i="4"/>
  <c r="BH15" i="4" s="1"/>
  <c r="BG16" i="4"/>
  <c r="BH16" i="4" s="1"/>
  <c r="BJ16" i="4"/>
  <c r="BJ15" i="4"/>
  <c r="BJ14" i="4"/>
  <c r="BH14" i="4"/>
  <c r="BJ13" i="4"/>
  <c r="BH13" i="4"/>
  <c r="BJ12" i="4"/>
  <c r="BJ11" i="4"/>
  <c r="BJ10" i="4"/>
  <c r="F26" i="1"/>
  <c r="J26" i="1"/>
  <c r="N26" i="1"/>
  <c r="R26" i="1"/>
  <c r="V26" i="1"/>
  <c r="Z26" i="1"/>
  <c r="AD26" i="1"/>
  <c r="AG26" i="1"/>
  <c r="AK26" i="1"/>
  <c r="AJ26" i="1"/>
  <c r="AI19" i="1"/>
  <c r="AI20" i="1"/>
  <c r="AI22" i="1"/>
  <c r="AI23" i="1"/>
  <c r="AI24" i="1"/>
  <c r="AI25" i="1"/>
  <c r="AH19" i="1"/>
  <c r="AH20" i="1"/>
  <c r="AH22" i="1"/>
  <c r="AH23" i="1"/>
  <c r="AH24" i="1"/>
  <c r="AH25" i="1"/>
  <c r="AE26" i="1"/>
  <c r="AC26" i="1"/>
  <c r="AB26" i="1"/>
  <c r="Y26" i="1"/>
  <c r="X26" i="1"/>
  <c r="U26" i="1"/>
  <c r="AL25" i="1"/>
  <c r="AL24" i="1"/>
  <c r="AL23" i="1"/>
  <c r="AL22" i="1"/>
  <c r="AL21" i="1"/>
  <c r="AL20" i="1"/>
  <c r="AL19" i="1"/>
  <c r="CC10" i="3"/>
  <c r="CD10" i="3" s="1"/>
  <c r="BB10" i="4"/>
  <c r="CG18" i="3"/>
  <c r="CB18" i="3"/>
  <c r="CH18" i="3"/>
  <c r="CE18" i="3"/>
  <c r="CF18" i="3"/>
  <c r="CC11" i="3"/>
  <c r="CC13" i="3"/>
  <c r="CD13" i="3" s="1"/>
  <c r="CC14" i="3"/>
  <c r="CC15" i="3"/>
  <c r="CD15" i="3" s="1"/>
  <c r="CC16" i="3"/>
  <c r="CC17" i="3"/>
  <c r="CD17" i="3" s="1"/>
  <c r="CH17" i="3"/>
  <c r="CF17" i="3"/>
  <c r="CH16" i="3"/>
  <c r="CF16" i="3"/>
  <c r="CD16" i="3"/>
  <c r="CH15" i="3"/>
  <c r="CF15" i="3"/>
  <c r="CH14" i="3"/>
  <c r="CF14" i="3"/>
  <c r="CD14" i="3"/>
  <c r="CH13" i="3"/>
  <c r="CF13" i="3"/>
  <c r="CH12" i="3"/>
  <c r="CF12" i="3"/>
  <c r="CD12" i="3"/>
  <c r="CH11" i="3"/>
  <c r="CF11" i="3"/>
  <c r="CD11" i="3"/>
  <c r="CH10" i="3"/>
  <c r="CF10" i="3"/>
  <c r="BD18" i="4"/>
  <c r="BA18" i="4"/>
  <c r="BB11" i="4"/>
  <c r="BB12" i="4"/>
  <c r="BC12" i="4" s="1"/>
  <c r="BB13" i="4"/>
  <c r="BB14" i="4"/>
  <c r="BC14" i="4" s="1"/>
  <c r="BB15" i="4"/>
  <c r="BB16" i="4"/>
  <c r="BC16" i="4" s="1"/>
  <c r="BB17" i="4"/>
  <c r="BE17" i="4"/>
  <c r="BC17" i="4"/>
  <c r="BE16" i="4"/>
  <c r="BE15" i="4"/>
  <c r="BC15" i="4"/>
  <c r="BE14" i="4"/>
  <c r="BE13" i="4"/>
  <c r="BC13" i="4"/>
  <c r="BE12" i="4"/>
  <c r="BE11" i="4"/>
  <c r="BC11" i="4"/>
  <c r="BE10" i="4"/>
  <c r="BC10" i="4"/>
  <c r="F16" i="1"/>
  <c r="J16" i="1"/>
  <c r="N16" i="1"/>
  <c r="R16" i="1"/>
  <c r="V16" i="1"/>
  <c r="Z16" i="1"/>
  <c r="AD16" i="1"/>
  <c r="AG16" i="1"/>
  <c r="AK16" i="1"/>
  <c r="AJ16" i="1"/>
  <c r="AI8" i="1"/>
  <c r="AI9" i="1"/>
  <c r="AI10" i="1"/>
  <c r="AI11" i="1"/>
  <c r="AI12" i="1"/>
  <c r="AI13" i="1"/>
  <c r="AI14" i="1"/>
  <c r="AI15" i="1"/>
  <c r="AH8" i="1"/>
  <c r="AH9" i="1"/>
  <c r="AH10" i="1"/>
  <c r="AH11" i="1"/>
  <c r="AH12" i="1"/>
  <c r="AH13" i="1"/>
  <c r="AH14" i="1"/>
  <c r="AH15" i="1"/>
  <c r="AF16" i="1"/>
  <c r="AE16" i="1"/>
  <c r="AC16" i="1"/>
  <c r="AB16" i="1"/>
  <c r="Y16" i="1"/>
  <c r="X16" i="1"/>
  <c r="U16" i="1"/>
  <c r="T16" i="1"/>
  <c r="Q16" i="1"/>
  <c r="P16" i="1"/>
  <c r="M16" i="1"/>
  <c r="L16" i="1"/>
  <c r="I16" i="1"/>
  <c r="H16" i="1"/>
  <c r="E16" i="1"/>
  <c r="D16" i="1"/>
  <c r="AL15" i="1"/>
  <c r="AL14" i="1"/>
  <c r="AL13" i="1"/>
  <c r="AL12" i="1"/>
  <c r="AL11" i="1"/>
  <c r="AL10" i="1"/>
  <c r="AL9" i="1"/>
  <c r="AL8" i="1"/>
  <c r="AW11" i="4"/>
  <c r="AX11" i="4" s="1"/>
  <c r="BU18" i="3"/>
  <c r="BZ18" i="3"/>
  <c r="BX18" i="3"/>
  <c r="BY18" i="3" s="1"/>
  <c r="BV11" i="3"/>
  <c r="BV10" i="3"/>
  <c r="BV13" i="3"/>
  <c r="BV15" i="3"/>
  <c r="BW15" i="3" s="1"/>
  <c r="BV12" i="3"/>
  <c r="BW12" i="3" s="1"/>
  <c r="BV16" i="3"/>
  <c r="BW16" i="3" s="1"/>
  <c r="BV14" i="3"/>
  <c r="BW14" i="3" s="1"/>
  <c r="BV17" i="3"/>
  <c r="BW17" i="3" s="1"/>
  <c r="CA11" i="3"/>
  <c r="CA12" i="3"/>
  <c r="CA13" i="3"/>
  <c r="CA14" i="3"/>
  <c r="CA15" i="3"/>
  <c r="CA16" i="3"/>
  <c r="CA17" i="3"/>
  <c r="BY11" i="3"/>
  <c r="BY12" i="3"/>
  <c r="BY13" i="3"/>
  <c r="BY14" i="3"/>
  <c r="BY15" i="3"/>
  <c r="BY16" i="3"/>
  <c r="BY17" i="3"/>
  <c r="BW11" i="3"/>
  <c r="BW13" i="3"/>
  <c r="CA10" i="3"/>
  <c r="BY10" i="3"/>
  <c r="BW10" i="3"/>
  <c r="AV18" i="4"/>
  <c r="AY18" i="4"/>
  <c r="AW10" i="4"/>
  <c r="AW13" i="4"/>
  <c r="AW15" i="4"/>
  <c r="AX15" i="4" s="1"/>
  <c r="AW12" i="4"/>
  <c r="AX12" i="4" s="1"/>
  <c r="AW16" i="4"/>
  <c r="AX16" i="4" s="1"/>
  <c r="AW14" i="4"/>
  <c r="AX14" i="4" s="1"/>
  <c r="AZ11" i="4"/>
  <c r="AZ12" i="4"/>
  <c r="AZ13" i="4"/>
  <c r="AZ14" i="4"/>
  <c r="AZ15" i="4"/>
  <c r="AZ16" i="4"/>
  <c r="AZ17" i="4"/>
  <c r="AW17" i="4"/>
  <c r="AW18" i="4" s="1"/>
  <c r="AX18" i="4" s="1"/>
  <c r="AX13" i="4"/>
  <c r="AX17" i="4"/>
  <c r="AZ10" i="4"/>
  <c r="AX10" i="4"/>
  <c r="BS18" i="3"/>
  <c r="BN18" i="3"/>
  <c r="BQ18" i="3"/>
  <c r="BO18" i="3" s="1"/>
  <c r="BP18" i="3" s="1"/>
  <c r="BT17" i="3"/>
  <c r="BR17" i="3"/>
  <c r="BO17" i="3"/>
  <c r="BP17" i="3" s="1"/>
  <c r="BT16" i="3"/>
  <c r="BR16" i="3"/>
  <c r="BO16" i="3"/>
  <c r="BP16" i="3" s="1"/>
  <c r="BT15" i="3"/>
  <c r="BR15" i="3"/>
  <c r="BO15" i="3"/>
  <c r="BP15" i="3" s="1"/>
  <c r="BT14" i="3"/>
  <c r="BR14" i="3"/>
  <c r="BO14" i="3"/>
  <c r="BP14" i="3" s="1"/>
  <c r="BT13" i="3"/>
  <c r="BR13" i="3"/>
  <c r="BO13" i="3"/>
  <c r="BP13" i="3" s="1"/>
  <c r="BT12" i="3"/>
  <c r="BR12" i="3"/>
  <c r="BO12" i="3"/>
  <c r="BP12" i="3" s="1"/>
  <c r="BT11" i="3"/>
  <c r="BR11" i="3"/>
  <c r="BO11" i="3"/>
  <c r="BP11" i="3" s="1"/>
  <c r="BT10" i="3"/>
  <c r="BR10" i="3"/>
  <c r="BO10" i="3"/>
  <c r="BP10" i="3" s="1"/>
  <c r="AT18" i="4"/>
  <c r="AQ18" i="4"/>
  <c r="AU18" i="4" s="1"/>
  <c r="AR10" i="4"/>
  <c r="AS10" i="4" s="1"/>
  <c r="AR11" i="4"/>
  <c r="AR12" i="4"/>
  <c r="AS12" i="4" s="1"/>
  <c r="AR13" i="4"/>
  <c r="AR14" i="4"/>
  <c r="AS14" i="4" s="1"/>
  <c r="AR15" i="4"/>
  <c r="AR16" i="4"/>
  <c r="AS16" i="4" s="1"/>
  <c r="AR17" i="4"/>
  <c r="AU17" i="4"/>
  <c r="AS17" i="4"/>
  <c r="AU16" i="4"/>
  <c r="AU15" i="4"/>
  <c r="AS15" i="4"/>
  <c r="AU14" i="4"/>
  <c r="AU13" i="4"/>
  <c r="AS13" i="4"/>
  <c r="AU12" i="4"/>
  <c r="AU11" i="4"/>
  <c r="AS11" i="4"/>
  <c r="AU10" i="4"/>
  <c r="V18" i="3"/>
  <c r="Q18" i="3"/>
  <c r="T18" i="3"/>
  <c r="R18" i="3" s="1"/>
  <c r="S18" i="3" s="1"/>
  <c r="W17" i="3"/>
  <c r="U17" i="3"/>
  <c r="R17" i="3"/>
  <c r="S17" i="3" s="1"/>
  <c r="W16" i="3"/>
  <c r="U16" i="3"/>
  <c r="R16" i="3"/>
  <c r="S16" i="3" s="1"/>
  <c r="W15" i="3"/>
  <c r="U15" i="3"/>
  <c r="R15" i="3"/>
  <c r="S15" i="3" s="1"/>
  <c r="W14" i="3"/>
  <c r="U14" i="3"/>
  <c r="R14" i="3"/>
  <c r="S14" i="3" s="1"/>
  <c r="W13" i="3"/>
  <c r="U13" i="3"/>
  <c r="R13" i="3"/>
  <c r="S13" i="3" s="1"/>
  <c r="W12" i="3"/>
  <c r="U12" i="3"/>
  <c r="R12" i="3"/>
  <c r="S12" i="3" s="1"/>
  <c r="W11" i="3"/>
  <c r="U11" i="3"/>
  <c r="R11" i="3"/>
  <c r="S11" i="3" s="1"/>
  <c r="W10" i="3"/>
  <c r="U10" i="3"/>
  <c r="R10" i="3"/>
  <c r="S10" i="3" s="1"/>
  <c r="BL18" i="3"/>
  <c r="BG18" i="3"/>
  <c r="BJ18" i="3"/>
  <c r="BK18" i="3" s="1"/>
  <c r="BM17" i="3"/>
  <c r="BK17" i="3"/>
  <c r="BH17" i="3"/>
  <c r="BI17" i="3"/>
  <c r="BM16" i="3"/>
  <c r="BK16" i="3"/>
  <c r="BH16" i="3"/>
  <c r="BI16" i="3"/>
  <c r="BM15" i="3"/>
  <c r="BK15" i="3"/>
  <c r="BH15" i="3"/>
  <c r="BI15" i="3"/>
  <c r="BM14" i="3"/>
  <c r="BK14" i="3"/>
  <c r="BH14" i="3"/>
  <c r="BI14" i="3"/>
  <c r="BM13" i="3"/>
  <c r="BK13" i="3"/>
  <c r="BH13" i="3"/>
  <c r="BI13" i="3"/>
  <c r="BM12" i="3"/>
  <c r="BK12" i="3"/>
  <c r="BH12" i="3"/>
  <c r="BI12" i="3"/>
  <c r="BM11" i="3"/>
  <c r="BK11" i="3"/>
  <c r="BH11" i="3"/>
  <c r="BI11" i="3"/>
  <c r="BM10" i="3"/>
  <c r="BK10" i="3"/>
  <c r="BH10" i="3"/>
  <c r="BI10" i="3"/>
  <c r="AZ18" i="3"/>
  <c r="BC18" i="3"/>
  <c r="BD18" i="3" s="1"/>
  <c r="BE18" i="3"/>
  <c r="BA18" i="3"/>
  <c r="BB18" i="3" s="1"/>
  <c r="BA17" i="3"/>
  <c r="BB17" i="3" s="1"/>
  <c r="BA16" i="3"/>
  <c r="BB16" i="3" s="1"/>
  <c r="BA15" i="3"/>
  <c r="BB15" i="3" s="1"/>
  <c r="BA14" i="3"/>
  <c r="BB14" i="3" s="1"/>
  <c r="BA13" i="3"/>
  <c r="BB13" i="3" s="1"/>
  <c r="BA12" i="3"/>
  <c r="BB12" i="3" s="1"/>
  <c r="BA11" i="3"/>
  <c r="BB11" i="3" s="1"/>
  <c r="BA10" i="3"/>
  <c r="BB10" i="3" s="1"/>
  <c r="BD10" i="3"/>
  <c r="BD11" i="3"/>
  <c r="BD12" i="3"/>
  <c r="BD13" i="3"/>
  <c r="BD14" i="3"/>
  <c r="BD15" i="3"/>
  <c r="BD16" i="3"/>
  <c r="BD17" i="3"/>
  <c r="AS18" i="3"/>
  <c r="AV10" i="3"/>
  <c r="AW10" i="3" s="1"/>
  <c r="AV11" i="3"/>
  <c r="AW11" i="3" s="1"/>
  <c r="AV12" i="3"/>
  <c r="AW12" i="3" s="1"/>
  <c r="AV13" i="3"/>
  <c r="AW13" i="3" s="1"/>
  <c r="AV14" i="3"/>
  <c r="AW14" i="3" s="1"/>
  <c r="AV15" i="3"/>
  <c r="AW15" i="3" s="1"/>
  <c r="AV16" i="3"/>
  <c r="AW16" i="3" s="1"/>
  <c r="AV17" i="3"/>
  <c r="AW17" i="3" s="1"/>
  <c r="AX10" i="3"/>
  <c r="AY10" i="3" s="1"/>
  <c r="AX11" i="3"/>
  <c r="AY11" i="3" s="1"/>
  <c r="AX12" i="3"/>
  <c r="AY12" i="3" s="1"/>
  <c r="AX13" i="3"/>
  <c r="AY13" i="3" s="1"/>
  <c r="AX14" i="3"/>
  <c r="AY14" i="3" s="1"/>
  <c r="AX15" i="3"/>
  <c r="AY15" i="3" s="1"/>
  <c r="AX16" i="3"/>
  <c r="AY16" i="3" s="1"/>
  <c r="AX17" i="3"/>
  <c r="AY17" i="3" s="1"/>
  <c r="AL18" i="3"/>
  <c r="AR18" i="3" s="1"/>
  <c r="AO10" i="3"/>
  <c r="AM10" i="3" s="1"/>
  <c r="AN10" i="3" s="1"/>
  <c r="AO11" i="3"/>
  <c r="AP11" i="3" s="1"/>
  <c r="AO12" i="3"/>
  <c r="AM12" i="3" s="1"/>
  <c r="AN12" i="3" s="1"/>
  <c r="AO13" i="3"/>
  <c r="AM13" i="3" s="1"/>
  <c r="AN13" i="3" s="1"/>
  <c r="AO14" i="3"/>
  <c r="AM14" i="3" s="1"/>
  <c r="AN14" i="3" s="1"/>
  <c r="AO15" i="3"/>
  <c r="AM15" i="3" s="1"/>
  <c r="AN15" i="3" s="1"/>
  <c r="AO16" i="3"/>
  <c r="AP16" i="3" s="1"/>
  <c r="AO17" i="3"/>
  <c r="AM17" i="3" s="1"/>
  <c r="AQ18" i="3"/>
  <c r="AN17" i="3"/>
  <c r="AM16" i="3"/>
  <c r="AN16" i="3" s="1"/>
  <c r="AE18" i="3"/>
  <c r="AH10" i="3"/>
  <c r="AI10" i="3" s="1"/>
  <c r="AH11" i="3"/>
  <c r="AI11" i="3" s="1"/>
  <c r="AH12" i="3"/>
  <c r="AI12" i="3" s="1"/>
  <c r="AH13" i="3"/>
  <c r="AF13" i="3" s="1"/>
  <c r="AG13" i="3" s="1"/>
  <c r="AH14" i="3"/>
  <c r="AI14" i="3" s="1"/>
  <c r="AH15" i="3"/>
  <c r="AI15" i="3" s="1"/>
  <c r="AH16" i="3"/>
  <c r="AI16" i="3" s="1"/>
  <c r="AH17" i="3"/>
  <c r="AI17" i="3" s="1"/>
  <c r="AJ18" i="3"/>
  <c r="AF17" i="3"/>
  <c r="AG17" i="3" s="1"/>
  <c r="X10" i="3"/>
  <c r="Y10" i="3" s="1"/>
  <c r="Z10" i="3" s="1"/>
  <c r="X11" i="3"/>
  <c r="AB11" i="3" s="1"/>
  <c r="X12" i="3"/>
  <c r="X14" i="3"/>
  <c r="X17" i="3"/>
  <c r="AA18" i="3"/>
  <c r="AC18" i="3"/>
  <c r="Y16" i="3"/>
  <c r="Z16" i="3" s="1"/>
  <c r="Y15" i="3"/>
  <c r="Z15" i="3" s="1"/>
  <c r="Y13" i="3"/>
  <c r="Z13" i="3" s="1"/>
  <c r="J18" i="3"/>
  <c r="K18" i="3" s="1"/>
  <c r="L18" i="3" s="1"/>
  <c r="M18" i="3"/>
  <c r="O18" i="3"/>
  <c r="P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C18" i="3"/>
  <c r="G18" i="3" s="1"/>
  <c r="H18" i="3"/>
  <c r="D18" i="3" s="1"/>
  <c r="E18" i="3" s="1"/>
  <c r="D10" i="3"/>
  <c r="E10" i="3" s="1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Z10" i="4"/>
  <c r="AM11" i="4"/>
  <c r="AM12" i="4"/>
  <c r="AN12" i="4" s="1"/>
  <c r="AM13" i="4"/>
  <c r="AM14" i="4"/>
  <c r="AN14" i="4" s="1"/>
  <c r="AM15" i="4"/>
  <c r="AM16" i="4"/>
  <c r="AN16" i="4" s="1"/>
  <c r="AM17" i="4"/>
  <c r="AM10" i="4"/>
  <c r="AN10" i="4" s="1"/>
  <c r="AO18" i="4"/>
  <c r="AL18" i="4"/>
  <c r="AP18" i="4" s="1"/>
  <c r="AP17" i="4"/>
  <c r="AN17" i="4"/>
  <c r="AP16" i="4"/>
  <c r="AP15" i="4"/>
  <c r="AN15" i="4"/>
  <c r="AP14" i="4"/>
  <c r="AP13" i="4"/>
  <c r="AN13" i="4"/>
  <c r="AP12" i="4"/>
  <c r="AP11" i="4"/>
  <c r="AN11" i="4"/>
  <c r="AP10" i="4"/>
  <c r="R10" i="4"/>
  <c r="S10" i="4" s="1"/>
  <c r="R11" i="4"/>
  <c r="S11" i="4" s="1"/>
  <c r="T11" i="4" s="1"/>
  <c r="R12" i="4"/>
  <c r="R13" i="4"/>
  <c r="S13" i="4" s="1"/>
  <c r="T13" i="4" s="1"/>
  <c r="R14" i="4"/>
  <c r="S14" i="4" s="1"/>
  <c r="T14" i="4" s="1"/>
  <c r="R15" i="4"/>
  <c r="R16" i="4"/>
  <c r="S16" i="4" s="1"/>
  <c r="T16" i="4" s="1"/>
  <c r="R17" i="4"/>
  <c r="S17" i="4" s="1"/>
  <c r="T17" i="4" s="1"/>
  <c r="M10" i="4"/>
  <c r="M11" i="4"/>
  <c r="N11" i="4" s="1"/>
  <c r="O11" i="4" s="1"/>
  <c r="M13" i="4"/>
  <c r="N13" i="4" s="1"/>
  <c r="O13" i="4" s="1"/>
  <c r="M14" i="4"/>
  <c r="M15" i="4"/>
  <c r="M16" i="4"/>
  <c r="M17" i="4"/>
  <c r="N17" i="4" s="1"/>
  <c r="O17" i="4" s="1"/>
  <c r="BF18" i="3"/>
  <c r="BF17" i="3"/>
  <c r="BF16" i="3"/>
  <c r="BF15" i="3"/>
  <c r="BF14" i="3"/>
  <c r="BF13" i="3"/>
  <c r="BF12" i="3"/>
  <c r="BF11" i="3"/>
  <c r="BF10" i="3"/>
  <c r="AR11" i="3"/>
  <c r="AR12" i="3"/>
  <c r="AR13" i="3"/>
  <c r="AR14" i="3"/>
  <c r="AR15" i="3"/>
  <c r="AR16" i="3"/>
  <c r="AR17" i="3"/>
  <c r="AR10" i="3"/>
  <c r="AK11" i="3"/>
  <c r="AK12" i="3"/>
  <c r="AK13" i="3"/>
  <c r="AK14" i="3"/>
  <c r="AK15" i="3"/>
  <c r="AK16" i="3"/>
  <c r="AK17" i="3"/>
  <c r="AK18" i="3"/>
  <c r="AK10" i="3"/>
  <c r="AD13" i="3"/>
  <c r="AD15" i="3"/>
  <c r="AD16" i="3"/>
  <c r="AB13" i="3"/>
  <c r="AB15" i="3"/>
  <c r="AB16" i="3"/>
  <c r="P11" i="3"/>
  <c r="P12" i="3"/>
  <c r="P13" i="3"/>
  <c r="P14" i="3"/>
  <c r="P15" i="3"/>
  <c r="P16" i="3"/>
  <c r="P17" i="3"/>
  <c r="P10" i="3"/>
  <c r="N11" i="3"/>
  <c r="N12" i="3"/>
  <c r="N13" i="3"/>
  <c r="N14" i="3"/>
  <c r="N15" i="3"/>
  <c r="N16" i="3"/>
  <c r="N17" i="3"/>
  <c r="N18" i="3"/>
  <c r="N10" i="3"/>
  <c r="A11" i="3"/>
  <c r="A12" i="3" s="1"/>
  <c r="A13" i="3" s="1"/>
  <c r="A14" i="3" s="1"/>
  <c r="A15" i="3" s="1"/>
  <c r="A16" i="3" s="1"/>
  <c r="A17" i="3" s="1"/>
  <c r="AJ18" i="4"/>
  <c r="AG18" i="4"/>
  <c r="AK18" i="4" s="1"/>
  <c r="AK17" i="4"/>
  <c r="AH18" i="4"/>
  <c r="AI17" i="4"/>
  <c r="AK16" i="4"/>
  <c r="AI16" i="4"/>
  <c r="AK15" i="4"/>
  <c r="AI15" i="4"/>
  <c r="AK14" i="4"/>
  <c r="AI14" i="4"/>
  <c r="AK13" i="4"/>
  <c r="AI13" i="4"/>
  <c r="AK12" i="4"/>
  <c r="AI12" i="4"/>
  <c r="AK11" i="4"/>
  <c r="AI11" i="4"/>
  <c r="AK10" i="4"/>
  <c r="AI10" i="4"/>
  <c r="W10" i="4"/>
  <c r="W11" i="4"/>
  <c r="Z11" i="4"/>
  <c r="M12" i="4"/>
  <c r="N12" i="4" s="1"/>
  <c r="O12" i="4" s="1"/>
  <c r="W13" i="4"/>
  <c r="Z13" i="4"/>
  <c r="W14" i="4"/>
  <c r="Z14" i="4"/>
  <c r="W15" i="4"/>
  <c r="Z15" i="4"/>
  <c r="W16" i="4"/>
  <c r="Z16" i="4"/>
  <c r="W17" i="4"/>
  <c r="Z17" i="4"/>
  <c r="W12" i="4"/>
  <c r="Z12" i="4"/>
  <c r="K10" i="4"/>
  <c r="K11" i="4"/>
  <c r="K12" i="4"/>
  <c r="K14" i="4"/>
  <c r="K17" i="4"/>
  <c r="I13" i="4"/>
  <c r="J13" i="4" s="1"/>
  <c r="I15" i="4"/>
  <c r="J15" i="4" s="1"/>
  <c r="I16" i="4"/>
  <c r="J16" i="4" s="1"/>
  <c r="D10" i="4"/>
  <c r="E10" i="4" s="1"/>
  <c r="F11" i="4"/>
  <c r="G11" i="4" s="1"/>
  <c r="F12" i="4"/>
  <c r="D12" i="4" s="1"/>
  <c r="E12" i="4" s="1"/>
  <c r="D13" i="4"/>
  <c r="D14" i="4"/>
  <c r="E14" i="4" s="1"/>
  <c r="D15" i="4"/>
  <c r="E15" i="4" s="1"/>
  <c r="D16" i="4"/>
  <c r="E16" i="4" s="1"/>
  <c r="D17" i="4"/>
  <c r="E17" i="4" s="1"/>
  <c r="U18" i="4"/>
  <c r="P18" i="4"/>
  <c r="C18" i="4"/>
  <c r="G17" i="4"/>
  <c r="A11" i="4"/>
  <c r="A12" i="4" s="1"/>
  <c r="A13" i="4" s="1"/>
  <c r="A14" i="4" s="1"/>
  <c r="A15" i="4" s="1"/>
  <c r="A16" i="4" s="1"/>
  <c r="A17" i="4" s="1"/>
  <c r="L16" i="4"/>
  <c r="G16" i="4"/>
  <c r="L15" i="4"/>
  <c r="G15" i="4"/>
  <c r="G14" i="4"/>
  <c r="L13" i="4"/>
  <c r="G13" i="4"/>
  <c r="E13" i="4"/>
  <c r="G10" i="4"/>
  <c r="AF14" i="3" l="1"/>
  <c r="AG14" i="3" s="1"/>
  <c r="AH39" i="1"/>
  <c r="AH36" i="1"/>
  <c r="AI36" i="1"/>
  <c r="AI35" i="1"/>
  <c r="D55" i="1"/>
  <c r="AI18" i="4"/>
  <c r="AM18" i="4"/>
  <c r="AN18" i="4" s="1"/>
  <c r="I18" i="3"/>
  <c r="BM18" i="3"/>
  <c r="W18" i="3"/>
  <c r="CA18" i="3"/>
  <c r="BG18" i="4"/>
  <c r="CJ18" i="3"/>
  <c r="CK18" i="3" s="1"/>
  <c r="AF10" i="3"/>
  <c r="AG10" i="3" s="1"/>
  <c r="AF12" i="3"/>
  <c r="AG12" i="3" s="1"/>
  <c r="AI13" i="3"/>
  <c r="AF11" i="3"/>
  <c r="AG11" i="3" s="1"/>
  <c r="AF15" i="3"/>
  <c r="AG15" i="3" s="1"/>
  <c r="AF16" i="3"/>
  <c r="AG16" i="3" s="1"/>
  <c r="AP17" i="3"/>
  <c r="Q12" i="4"/>
  <c r="V10" i="4"/>
  <c r="AP13" i="3"/>
  <c r="AA14" i="4"/>
  <c r="V13" i="4"/>
  <c r="H11" i="4"/>
  <c r="L11" i="4" s="1"/>
  <c r="S15" i="4"/>
  <c r="T15" i="4" s="1"/>
  <c r="V15" i="4"/>
  <c r="Q11" i="4"/>
  <c r="H14" i="4"/>
  <c r="L14" i="4" s="1"/>
  <c r="AA10" i="4"/>
  <c r="N15" i="4"/>
  <c r="O15" i="4" s="1"/>
  <c r="Q15" i="4"/>
  <c r="N10" i="4"/>
  <c r="O10" i="4" s="1"/>
  <c r="Q10" i="4"/>
  <c r="S12" i="4"/>
  <c r="T12" i="4" s="1"/>
  <c r="V12" i="4"/>
  <c r="H17" i="4"/>
  <c r="I17" i="4" s="1"/>
  <c r="J17" i="4" s="1"/>
  <c r="H12" i="4"/>
  <c r="I12" i="4" s="1"/>
  <c r="J12" i="4" s="1"/>
  <c r="H10" i="4"/>
  <c r="I10" i="4" s="1"/>
  <c r="J10" i="4" s="1"/>
  <c r="X10" i="4"/>
  <c r="Y10" i="4" s="1"/>
  <c r="AB10" i="3"/>
  <c r="AD10" i="3"/>
  <c r="AP15" i="3"/>
  <c r="AA11" i="4"/>
  <c r="Q13" i="4"/>
  <c r="AD11" i="3"/>
  <c r="AP10" i="3"/>
  <c r="AP14" i="3"/>
  <c r="AP12" i="3"/>
  <c r="P55" i="1"/>
  <c r="Z18" i="4"/>
  <c r="L12" i="4"/>
  <c r="AA16" i="4"/>
  <c r="AA13" i="4"/>
  <c r="V17" i="4"/>
  <c r="I40" i="1"/>
  <c r="N16" i="4"/>
  <c r="O16" i="4" s="1"/>
  <c r="Q16" i="4"/>
  <c r="N14" i="4"/>
  <c r="O14" i="4" s="1"/>
  <c r="M18" i="4"/>
  <c r="Q18" i="4" s="1"/>
  <c r="Q14" i="4"/>
  <c r="AA12" i="4"/>
  <c r="W18" i="4"/>
  <c r="H55" i="1"/>
  <c r="G12" i="4"/>
  <c r="Y11" i="3"/>
  <c r="Z11" i="3" s="1"/>
  <c r="U40" i="1"/>
  <c r="AA15" i="4"/>
  <c r="AB55" i="1"/>
  <c r="L55" i="1"/>
  <c r="AH53" i="1"/>
  <c r="M40" i="1"/>
  <c r="T55" i="1"/>
  <c r="Y55" i="1"/>
  <c r="Q55" i="1"/>
  <c r="AV18" i="3"/>
  <c r="AW18" i="3" s="1"/>
  <c r="U55" i="1"/>
  <c r="AE13" i="4"/>
  <c r="AT17" i="3"/>
  <c r="AU17" i="3" s="1"/>
  <c r="AT15" i="3"/>
  <c r="AU15" i="3" s="1"/>
  <c r="AT13" i="3"/>
  <c r="AU13" i="3" s="1"/>
  <c r="AT11" i="3"/>
  <c r="AU11" i="3" s="1"/>
  <c r="AT14" i="3"/>
  <c r="AU14" i="3" s="1"/>
  <c r="AT12" i="3"/>
  <c r="AU12" i="3" s="1"/>
  <c r="AT10" i="3"/>
  <c r="AU10" i="3" s="1"/>
  <c r="E40" i="1"/>
  <c r="H40" i="1"/>
  <c r="AI33" i="1"/>
  <c r="Q40" i="1"/>
  <c r="T40" i="1"/>
  <c r="D40" i="1"/>
  <c r="L40" i="1"/>
  <c r="AI39" i="1"/>
  <c r="AH38" i="1"/>
  <c r="AH50" i="1"/>
  <c r="AE17" i="4"/>
  <c r="AH16" i="1"/>
  <c r="AI51" i="1"/>
  <c r="AI52" i="1"/>
  <c r="AE10" i="4"/>
  <c r="AH33" i="1"/>
  <c r="AH52" i="1"/>
  <c r="V11" i="4"/>
  <c r="V14" i="4"/>
  <c r="V16" i="4"/>
  <c r="AH18" i="3"/>
  <c r="AF18" i="3" s="1"/>
  <c r="AG18" i="3" s="1"/>
  <c r="AE14" i="4"/>
  <c r="AB16" i="4"/>
  <c r="AB10" i="4"/>
  <c r="AT16" i="3"/>
  <c r="AU16" i="3" s="1"/>
  <c r="AH54" i="1"/>
  <c r="X17" i="4"/>
  <c r="Y17" i="4" s="1"/>
  <c r="X15" i="4"/>
  <c r="Y15" i="4" s="1"/>
  <c r="X13" i="4"/>
  <c r="Y13" i="4" s="1"/>
  <c r="AB17" i="4"/>
  <c r="AB11" i="4"/>
  <c r="AL26" i="1"/>
  <c r="AH35" i="1"/>
  <c r="K18" i="4"/>
  <c r="X16" i="4"/>
  <c r="Y16" i="4" s="1"/>
  <c r="X12" i="4"/>
  <c r="Y12" i="4" s="1"/>
  <c r="AA17" i="4"/>
  <c r="X14" i="4"/>
  <c r="Y14" i="4" s="1"/>
  <c r="AE16" i="4"/>
  <c r="X11" i="4"/>
  <c r="Y11" i="4" s="1"/>
  <c r="AB14" i="4"/>
  <c r="AB12" i="4"/>
  <c r="AI54" i="1"/>
  <c r="X55" i="1"/>
  <c r="F18" i="4"/>
  <c r="G18" i="4" s="1"/>
  <c r="AE15" i="4"/>
  <c r="AE12" i="4"/>
  <c r="AB15" i="4"/>
  <c r="AB13" i="4"/>
  <c r="BH18" i="3"/>
  <c r="BI18" i="3" s="1"/>
  <c r="BT18" i="3"/>
  <c r="AZ18" i="4"/>
  <c r="BE18" i="4"/>
  <c r="BH11" i="4"/>
  <c r="CK11" i="3"/>
  <c r="CO18" i="3"/>
  <c r="AH21" i="1"/>
  <c r="AH26" i="1" s="1"/>
  <c r="BT18" i="4"/>
  <c r="DA18" i="3"/>
  <c r="D11" i="4"/>
  <c r="Y17" i="3"/>
  <c r="Z17" i="3" s="1"/>
  <c r="AD17" i="3"/>
  <c r="AB17" i="3"/>
  <c r="Y12" i="3"/>
  <c r="Z12" i="3" s="1"/>
  <c r="AB12" i="3"/>
  <c r="X18" i="3"/>
  <c r="AD12" i="3"/>
  <c r="T10" i="4"/>
  <c r="Y14" i="3"/>
  <c r="Z14" i="3" s="1"/>
  <c r="AB14" i="3"/>
  <c r="AD14" i="3"/>
  <c r="Q17" i="4"/>
  <c r="R18" i="4"/>
  <c r="V18" i="4" s="1"/>
  <c r="AO18" i="3"/>
  <c r="AP18" i="3" s="1"/>
  <c r="AM11" i="3"/>
  <c r="AN11" i="3" s="1"/>
  <c r="AX18" i="3"/>
  <c r="U18" i="3"/>
  <c r="AR18" i="4"/>
  <c r="AS18" i="4" s="1"/>
  <c r="BR18" i="3"/>
  <c r="BV18" i="3"/>
  <c r="BW18" i="3" s="1"/>
  <c r="AI16" i="1"/>
  <c r="BB18" i="4"/>
  <c r="BC18" i="4" s="1"/>
  <c r="BH18" i="4"/>
  <c r="CM18" i="3"/>
  <c r="BL18" i="4"/>
  <c r="BM18" i="4" s="1"/>
  <c r="CT18" i="3"/>
  <c r="AL55" i="1"/>
  <c r="AH48" i="1"/>
  <c r="AH51" i="1"/>
  <c r="AI53" i="1"/>
  <c r="I55" i="1"/>
  <c r="AL16" i="1"/>
  <c r="CC18" i="3"/>
  <c r="CD18" i="3" s="1"/>
  <c r="AI21" i="1"/>
  <c r="AI26" i="1" s="1"/>
  <c r="E26" i="1"/>
  <c r="AL40" i="1"/>
  <c r="CQ18" i="3"/>
  <c r="CR18" i="3" s="1"/>
  <c r="CR10" i="3"/>
  <c r="AH34" i="1"/>
  <c r="P40" i="1"/>
  <c r="BQ18" i="4"/>
  <c r="BR18" i="4" s="1"/>
  <c r="AI48" i="1"/>
  <c r="M55" i="1"/>
  <c r="AI50" i="1"/>
  <c r="E55" i="1"/>
  <c r="I14" i="4" l="1"/>
  <c r="J14" i="4" s="1"/>
  <c r="L10" i="4"/>
  <c r="L17" i="4"/>
  <c r="AF10" i="4"/>
  <c r="AF17" i="4"/>
  <c r="I11" i="4"/>
  <c r="J11" i="4" s="1"/>
  <c r="S18" i="4"/>
  <c r="T18" i="4" s="1"/>
  <c r="AF13" i="4"/>
  <c r="AA18" i="4"/>
  <c r="N18" i="4"/>
  <c r="O18" i="4" s="1"/>
  <c r="AF16" i="4"/>
  <c r="AI40" i="1"/>
  <c r="H18" i="4"/>
  <c r="L18" i="4" s="1"/>
  <c r="AH40" i="1"/>
  <c r="AC17" i="4"/>
  <c r="AD17" i="4" s="1"/>
  <c r="AH55" i="1"/>
  <c r="AC16" i="4"/>
  <c r="AD16" i="4" s="1"/>
  <c r="X18" i="4"/>
  <c r="Y18" i="4" s="1"/>
  <c r="AC14" i="4"/>
  <c r="AD14" i="4" s="1"/>
  <c r="AI18" i="3"/>
  <c r="AC10" i="4"/>
  <c r="AD10" i="4" s="1"/>
  <c r="AC12" i="4"/>
  <c r="AD12" i="4" s="1"/>
  <c r="AF14" i="4"/>
  <c r="AC15" i="4"/>
  <c r="AD15" i="4" s="1"/>
  <c r="AM18" i="3"/>
  <c r="AN18" i="3" s="1"/>
  <c r="AC13" i="4"/>
  <c r="AD13" i="4" s="1"/>
  <c r="I18" i="4"/>
  <c r="AB18" i="4"/>
  <c r="AF12" i="4"/>
  <c r="AE11" i="4"/>
  <c r="AF15" i="4"/>
  <c r="AI55" i="1"/>
  <c r="AT18" i="3"/>
  <c r="AU18" i="3" s="1"/>
  <c r="AY18" i="3"/>
  <c r="Y18" i="3"/>
  <c r="Z18" i="3" s="1"/>
  <c r="AB18" i="3"/>
  <c r="AD18" i="3"/>
  <c r="E11" i="4"/>
  <c r="D18" i="4"/>
  <c r="E18" i="4" s="1"/>
  <c r="J18" i="4" l="1"/>
  <c r="AC11" i="4"/>
  <c r="AF11" i="4"/>
  <c r="AE18" i="4"/>
  <c r="AF18" i="4" s="1"/>
  <c r="AD11" i="4" l="1"/>
  <c r="AC18" i="4"/>
  <c r="AD18" i="4" s="1"/>
</calcChain>
</file>

<file path=xl/sharedStrings.xml><?xml version="1.0" encoding="utf-8"?>
<sst xmlns="http://schemas.openxmlformats.org/spreadsheetml/2006/main" count="735" uniqueCount="221">
  <si>
    <t>Schuljahr</t>
  </si>
  <si>
    <t>5. Jahrgang</t>
  </si>
  <si>
    <t>6. Jahrgang</t>
  </si>
  <si>
    <t>7. Jahrgang</t>
  </si>
  <si>
    <t>8. Jahrgang</t>
  </si>
  <si>
    <t>9. Jahrgang</t>
  </si>
  <si>
    <t>Kl.</t>
  </si>
  <si>
    <t>Typ A</t>
  </si>
  <si>
    <t>Sch.</t>
  </si>
  <si>
    <t xml:space="preserve"> Kl.</t>
  </si>
  <si>
    <t>Fürstenbergschule</t>
  </si>
  <si>
    <t>Hauptschule Hiltrup</t>
  </si>
  <si>
    <t>Hauptschule Wolbeck</t>
  </si>
  <si>
    <t>2001/2002</t>
  </si>
  <si>
    <t>2002/2003</t>
  </si>
  <si>
    <t>2)</t>
  </si>
  <si>
    <t>3)</t>
  </si>
  <si>
    <t>4)</t>
  </si>
  <si>
    <t>5)</t>
  </si>
  <si>
    <t>1)</t>
  </si>
  <si>
    <t>2003/2004</t>
  </si>
  <si>
    <t>2004/2005</t>
  </si>
  <si>
    <t>1995/1996</t>
  </si>
  <si>
    <t>2005/2006</t>
  </si>
  <si>
    <t>Lfd.
Nr.</t>
  </si>
  <si>
    <t>Schule</t>
  </si>
  <si>
    <t>gesamt</t>
  </si>
  <si>
    <t>Gesamt</t>
  </si>
  <si>
    <t>1996/1997</t>
  </si>
  <si>
    <t>1997/1998</t>
  </si>
  <si>
    <t xml:space="preserve">Hauptschulen in Münster </t>
  </si>
  <si>
    <t>Hauptschulen gesamt</t>
  </si>
  <si>
    <t>Anzahl</t>
  </si>
  <si>
    <t>%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</si>
  <si>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</si>
  <si>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</si>
  <si>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</si>
  <si>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</si>
  <si>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</si>
  <si>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</si>
  <si>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</si>
  <si>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</si>
  <si>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</si>
  <si>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1)</t>
    </r>
    <r>
      <rPr>
        <sz val="9"/>
        <rFont val="Arial"/>
        <family val="2"/>
      </rPr>
      <t xml:space="preserve"> Die Daten wurden vor diesem Zeitraum nicht gesondert erhoben.</t>
    </r>
  </si>
  <si>
    <r>
      <t>2)</t>
    </r>
    <r>
      <rPr>
        <sz val="9"/>
        <rFont val="Arial"/>
        <family val="2"/>
      </rPr>
      <t xml:space="preserve"> bis 01.08.2000 Lernort Coerde (Norbertschule) der Hauptschule Münster-Nord</t>
    </r>
  </si>
  <si>
    <r>
      <t>3)</t>
    </r>
    <r>
      <rPr>
        <sz val="9"/>
        <rFont val="Arial"/>
        <family val="2"/>
      </rPr>
      <t xml:space="preserve"> bis 01.08.2000 Lernort Kinderhaus (Hauptschule Kinderhaus) der Hauptschule Münster-Nord</t>
    </r>
  </si>
  <si>
    <t>2006/2007</t>
  </si>
  <si>
    <t>Geistschule
Ganztagshauptschule</t>
  </si>
  <si>
    <t>Wartburgschule
Ganztagshauptschule</t>
  </si>
  <si>
    <t>Droste-Hauptschule Roxel
Erweiterte Ganztags-
schule</t>
  </si>
  <si>
    <t>Geistschule
Ganztagshaupt-
schule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</si>
  <si>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</si>
  <si>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</si>
  <si>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</si>
  <si>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</si>
  <si>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</si>
  <si>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</si>
  <si>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</si>
  <si>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</si>
  <si>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</si>
  <si>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Hauptschule Coerde </t>
    </r>
    <r>
      <rPr>
        <vertAlign val="superscript"/>
        <sz val="9"/>
        <rFont val="Arial"/>
        <family val="2"/>
      </rPr>
      <t>1)</t>
    </r>
    <r>
      <rPr>
        <sz val="10"/>
        <rFont val="Arial"/>
        <family val="2"/>
      </rPr>
      <t xml:space="preserve">
Ganztagshauptschule</t>
    </r>
  </si>
  <si>
    <r>
      <t>1)</t>
    </r>
    <r>
      <rPr>
        <sz val="10"/>
        <rFont val="Arial"/>
        <family val="2"/>
      </rPr>
      <t xml:space="preserve"> bis 01.08.2000 Lernort Coerde (Norbertschule) der Hauptschule Münster-Nord</t>
    </r>
  </si>
  <si>
    <r>
      <t>2)</t>
    </r>
    <r>
      <rPr>
        <sz val="10"/>
        <rFont val="Arial"/>
        <family val="2"/>
      </rPr>
      <t xml:space="preserve"> bis 01.08.2000 Lernort Kinderhaus (Hauptschule Kinderhaus) der Hauptschule Münster-Nord</t>
    </r>
  </si>
  <si>
    <r>
      <t xml:space="preserve">Waldschule Kinderhaus </t>
    </r>
    <r>
      <rPr>
        <vertAlign val="superscript"/>
        <sz val="9"/>
        <rFont val="Arial"/>
        <family val="2"/>
      </rPr>
      <t>2)</t>
    </r>
    <r>
      <rPr>
        <sz val="10"/>
        <rFont val="Arial"/>
        <family val="2"/>
      </rPr>
      <t xml:space="preserve">
Ganztagshauptschule</t>
    </r>
  </si>
  <si>
    <r>
      <t xml:space="preserve">Hauptschule Coerde </t>
    </r>
    <r>
      <rPr>
        <vertAlign val="superscript"/>
        <sz val="9"/>
        <rFont val="Arial"/>
        <family val="2"/>
      </rPr>
      <t>2)</t>
    </r>
    <r>
      <rPr>
        <sz val="10"/>
        <rFont val="Arial"/>
        <family val="2"/>
      </rPr>
      <t xml:space="preserve">
Ganztagshauptschule</t>
    </r>
  </si>
  <si>
    <r>
      <t xml:space="preserve">Waldschule Kinderhaus </t>
    </r>
    <r>
      <rPr>
        <vertAlign val="superscript"/>
        <sz val="9"/>
        <rFont val="Arial"/>
        <family val="2"/>
      </rPr>
      <t>3)</t>
    </r>
    <r>
      <rPr>
        <sz val="10"/>
        <rFont val="Arial"/>
        <family val="2"/>
      </rPr>
      <t xml:space="preserve">
Ganztagshauptschule</t>
    </r>
  </si>
  <si>
    <t>2007/2008</t>
  </si>
  <si>
    <t>w.</t>
  </si>
  <si>
    <t>Hauptschule Coerde
Ganztagsschule in Angebotsform</t>
  </si>
  <si>
    <t>Aussiedler</t>
  </si>
  <si>
    <t>Ausländer</t>
  </si>
  <si>
    <t>Geistschule
Ganztagsschule in Angebotsform</t>
  </si>
  <si>
    <t>Waldschule Kinderhaus
Ganztagsschule in Angebotsform</t>
  </si>
  <si>
    <r>
      <t xml:space="preserve">1999/2000 </t>
    </r>
    <r>
      <rPr>
        <b/>
        <vertAlign val="superscript"/>
        <sz val="10"/>
        <rFont val="Arial"/>
        <family val="2"/>
      </rPr>
      <t>1)</t>
    </r>
  </si>
  <si>
    <t xml:space="preserve">davon </t>
  </si>
  <si>
    <t>männlich</t>
  </si>
  <si>
    <t>weiblich</t>
  </si>
  <si>
    <t>Entwicklung der Schülerzahlen nach Geschlecht</t>
  </si>
  <si>
    <t>Deutsche</t>
  </si>
  <si>
    <t>Entwicklung der Schülerzahlen nach Herkunft</t>
  </si>
  <si>
    <t>6</t>
  </si>
  <si>
    <t>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</si>
  <si>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</si>
  <si>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</si>
  <si>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</si>
  <si>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</si>
  <si>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</si>
  <si>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</si>
  <si>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</si>
  <si>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</si>
  <si>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</si>
  <si>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</si>
  <si>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</si>
  <si>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</si>
  <si>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2008/2009</t>
  </si>
  <si>
    <r>
      <t>Hauptschule Wolbeck</t>
    </r>
    <r>
      <rPr>
        <sz val="12"/>
        <rFont val="Arial"/>
        <family val="2"/>
      </rPr>
      <t xml:space="preserve">
Erweiterte Ganztagsschule</t>
    </r>
  </si>
  <si>
    <t>2009/2010</t>
  </si>
  <si>
    <r>
      <t xml:space="preserve">Droste-Hauptschule Roxel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Erweiterte Ganztagsschule</t>
    </r>
  </si>
  <si>
    <t>2010/2011</t>
  </si>
  <si>
    <r>
      <t>Hauptschule Hiltrup</t>
    </r>
    <r>
      <rPr>
        <vertAlign val="superscript"/>
        <sz val="12"/>
        <rFont val="Arial"/>
        <family val="2"/>
      </rPr>
      <t>2)</t>
    </r>
  </si>
  <si>
    <r>
      <t xml:space="preserve">1) </t>
    </r>
    <r>
      <rPr>
        <sz val="10"/>
        <rFont val="Arial"/>
        <family val="2"/>
      </rPr>
      <t>davon im 5. und 6. Jahrgang jahrgangsübergreifender Unterricht</t>
    </r>
  </si>
  <si>
    <r>
      <t xml:space="preserve">2) </t>
    </r>
    <r>
      <rPr>
        <sz val="10"/>
        <rFont val="Arial"/>
        <family val="2"/>
      </rPr>
      <t>davon 1 BUS-Klasse - Beruf und Schule - mit 12 bzw. 11 Schüler/innen</t>
    </r>
  </si>
  <si>
    <r>
      <t xml:space="preserve">Fürstenbergschule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Erweiterte Ganztagsschule</t>
    </r>
  </si>
  <si>
    <r>
      <t>Wartburgschule</t>
    </r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
Ganztagsschule in Angebotsform </t>
    </r>
  </si>
  <si>
    <t>2011/2012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</si>
  <si>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</si>
  <si>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</si>
  <si>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</si>
  <si>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</si>
  <si>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</si>
  <si>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</si>
  <si>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</si>
  <si>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</si>
  <si>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</si>
  <si>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</si>
  <si>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</si>
  <si>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</si>
  <si>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</si>
  <si>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</si>
  <si>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</si>
  <si>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</si>
  <si>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</si>
  <si>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</si>
  <si>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</si>
  <si>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</si>
  <si>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</si>
  <si>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</si>
  <si>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</si>
  <si>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</si>
  <si>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</si>
  <si>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</si>
  <si>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</si>
  <si>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</si>
  <si>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r>
      <t xml:space="preserve">Fürstenbergschule </t>
    </r>
    <r>
      <rPr>
        <sz val="12"/>
        <rFont val="Arial"/>
        <family val="2"/>
      </rPr>
      <t xml:space="preserve">
Erweiterte Ganztagsschule</t>
    </r>
  </si>
  <si>
    <r>
      <t>4)</t>
    </r>
    <r>
      <rPr>
        <sz val="10"/>
        <rFont val="Arial"/>
        <family val="2"/>
      </rPr>
      <t xml:space="preserve">  im 5. und 6. Jahrgang jeweils 2 Integrationsklassen, in den Jahrgangen 7 und 8 jeweils eine Integrationsklasse</t>
    </r>
  </si>
  <si>
    <r>
      <t xml:space="preserve">Droste-Hauptschule Roxel </t>
    </r>
    <r>
      <rPr>
        <sz val="12"/>
        <rFont val="Arial"/>
        <family val="2"/>
      </rPr>
      <t xml:space="preserve">
Erweiterte Ganztagsschule</t>
    </r>
  </si>
  <si>
    <r>
      <t xml:space="preserve">Geistschule </t>
    </r>
    <r>
      <rPr>
        <sz val="12"/>
        <rFont val="Arial"/>
        <family val="2"/>
      </rPr>
      <t xml:space="preserve">
Ganztagsschule in Angebotsform</t>
    </r>
  </si>
  <si>
    <r>
      <t xml:space="preserve">1) </t>
    </r>
    <r>
      <rPr>
        <sz val="10"/>
        <rFont val="Arial"/>
        <family val="2"/>
      </rPr>
      <t xml:space="preserve">davon im 5. und 6. Jahrgang jahrgangsübergreifender Unterricht, in den Jahrgängen 5 - 8 jeweils eine Integrationsklasse </t>
    </r>
  </si>
  <si>
    <r>
      <t xml:space="preserve">2) </t>
    </r>
    <r>
      <rPr>
        <sz val="10"/>
        <rFont val="Arial"/>
        <family val="2"/>
      </rPr>
      <t>davon 1 BUS-Klasse - Beruf und Schule - mit 15 Schüler/innen</t>
    </r>
  </si>
  <si>
    <r>
      <t>3)</t>
    </r>
    <r>
      <rPr>
        <sz val="10"/>
        <rFont val="Arial"/>
        <family val="2"/>
      </rPr>
      <t xml:space="preserve"> davon im 5.+ 6. Jahrgang eine jahrgangsübergreifende Integrationsklasse, im 7. Jahrgang eine und vom 8. bis 10.Jahrgang je zwei Integrationsklassen</t>
    </r>
  </si>
  <si>
    <t>Die Wartburgschule wurde zum Ende des Schuljahres 2010/2011 aufgelöst.</t>
  </si>
  <si>
    <t>2012/2013</t>
  </si>
  <si>
    <t>73</t>
  </si>
  <si>
    <t>74</t>
  </si>
  <si>
    <t>75</t>
  </si>
  <si>
    <t>76</t>
  </si>
  <si>
    <t>77</t>
  </si>
  <si>
    <t>78</t>
  </si>
  <si>
    <t>79</t>
  </si>
  <si>
    <r>
      <t xml:space="preserve">1) </t>
    </r>
    <r>
      <rPr>
        <sz val="10"/>
        <rFont val="Arial"/>
        <family val="2"/>
      </rPr>
      <t xml:space="preserve">in den Jahrgängen 6 - 9 jeweils eine Integrationsklasse </t>
    </r>
  </si>
  <si>
    <t>Die Droste-Hauptschule und die Fürstenbergschule werden ab dem SJ 2012 auslaufend aufgelöst</t>
  </si>
  <si>
    <r>
      <t xml:space="preserve">5)  </t>
    </r>
    <r>
      <rPr>
        <sz val="10"/>
        <rFont val="Arial"/>
        <family val="2"/>
      </rPr>
      <t>in den Klassen 5 - 8 jeweils 1 bzw. 2 Integrationsklassen</t>
    </r>
  </si>
  <si>
    <r>
      <t>3)</t>
    </r>
    <r>
      <rPr>
        <sz val="10"/>
        <rFont val="Arial"/>
        <family val="2"/>
      </rPr>
      <t xml:space="preserve"> davon im 5.+ 6. Jahrgang eine jahrgangsübergreifende Integrationsklasse, im 7. Jahrgang eine Integrationsklasse</t>
    </r>
  </si>
  <si>
    <t>2013/2014</t>
  </si>
  <si>
    <r>
      <t>Droste-Hauptschule Roxel 
Erweiterte Ganztagsschule</t>
    </r>
    <r>
      <rPr>
        <vertAlign val="superscript"/>
        <sz val="10.199999999999999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</si>
  <si>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 xml:space="preserve">in den Jahrgängen 7 - 10 ein bzw. zwei Integrationsklassen </t>
    </r>
  </si>
  <si>
    <r>
      <t xml:space="preserve">Geistschule </t>
    </r>
    <r>
      <rPr>
        <vertAlign val="superscript"/>
        <sz val="10.199999999999999"/>
        <rFont val="Arial"/>
        <family val="2"/>
      </rPr>
      <t>3)</t>
    </r>
    <r>
      <rPr>
        <sz val="12"/>
        <rFont val="Arial"/>
        <family val="2"/>
      </rPr>
      <t xml:space="preserve">
Ganztagsschule in Angebotsform</t>
    </r>
  </si>
  <si>
    <r>
      <t xml:space="preserve">5)  </t>
    </r>
    <r>
      <rPr>
        <sz val="10"/>
        <rFont val="Arial"/>
        <family val="2"/>
      </rPr>
      <t>in den Jahrgängen 5 - 9 jeweils 1 bzw. 2 Integrationsklassen</t>
    </r>
  </si>
  <si>
    <r>
      <t xml:space="preserve">Hauptschule Coerde </t>
    </r>
    <r>
      <rPr>
        <vertAlign val="superscript"/>
        <sz val="10.199999999999999"/>
        <rFont val="Arial"/>
        <family val="2"/>
      </rPr>
      <t xml:space="preserve"> 5)</t>
    </r>
    <r>
      <rPr>
        <sz val="12"/>
        <rFont val="Arial"/>
        <family val="2"/>
      </rPr>
      <t xml:space="preserve">
Ganztagsschule in Angebotsform</t>
    </r>
  </si>
  <si>
    <r>
      <t>Waldschule Kinderhaus</t>
    </r>
    <r>
      <rPr>
        <vertAlign val="superscript"/>
        <sz val="10.199999999999999"/>
        <rFont val="Arial"/>
        <family val="2"/>
      </rPr>
      <t xml:space="preserve"> 5)</t>
    </r>
    <r>
      <rPr>
        <sz val="12"/>
        <rFont val="Arial"/>
        <family val="2"/>
      </rPr>
      <t xml:space="preserve">
Ganztagsschule in Angebotsform</t>
    </r>
  </si>
  <si>
    <r>
      <t xml:space="preserve">Hauptschule Hiltrup </t>
    </r>
    <r>
      <rPr>
        <vertAlign val="superscript"/>
        <sz val="10.199999999999999"/>
        <rFont val="Arial"/>
        <family val="2"/>
      </rPr>
      <t>2)</t>
    </r>
  </si>
  <si>
    <r>
      <t xml:space="preserve">2) </t>
    </r>
    <r>
      <rPr>
        <sz val="10"/>
        <rFont val="Arial"/>
        <family val="2"/>
      </rPr>
      <t>in den Jahrgängen 5 und 6 jeweils eine Integrationsklasse, im 9. Jahrgang 1 BUS-Klasse - Beruf und Schule - mit 13 Schüler/innen</t>
    </r>
  </si>
  <si>
    <r>
      <t>3)</t>
    </r>
    <r>
      <rPr>
        <sz val="10"/>
        <rFont val="Arial"/>
        <family val="2"/>
      </rPr>
      <t xml:space="preserve"> davon im 5.+ 6. Jahrgang eine jahrgangsübergreifende Integrationsklasse, im 7. und 8. Jahrgang eine Integrationsklasse</t>
    </r>
  </si>
  <si>
    <t>2014/2015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</si>
  <si>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Die Schule wird auslaufend aufgelöst.</t>
    </r>
  </si>
  <si>
    <r>
      <t>Geistschule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Ganztagsschule in Angebotsform</t>
    </r>
  </si>
  <si>
    <r>
      <t xml:space="preserve">Hauptschule Wolbeck
</t>
    </r>
    <r>
      <rPr>
        <sz val="10"/>
        <rFont val="Arial"/>
        <family val="2"/>
      </rPr>
      <t>Erweiterte Ganztagsschule</t>
    </r>
  </si>
  <si>
    <r>
      <t>Droste-Hauptschule Roxel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</si>
  <si>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r>
      <t>Fürstenbergschule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</si>
  <si>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t>Hauptschule Coerde: Integrationsklassen in den Jahrgängen 5 bis 9</t>
  </si>
  <si>
    <t>Droste-Hauptschule Roxel: Integrationsklassen in allen Jahrgängen</t>
  </si>
  <si>
    <t>Fürstenbergschule: JG 10 Typ B: abschlussbezogene Binnendifferenzierung, keine Integrationsklasse</t>
  </si>
  <si>
    <t>Hauptschule Hiltrup: Integrationsklassen in den JG 5, 6, 7, 9,  im JG 9 eine BUS-Klasse (Beruf und Schule) mit 10 Schüler/innen, JG 10 Typ B: abschlussbezogene Binnendifferenzierung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</si>
  <si>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teilweise abschlussbezogene Binnendifferenzierung, siehe Fußnote Einzelschule</t>
    </r>
  </si>
  <si>
    <t>Geistschule: Integrationsklassen in den Jahrgängen 6 - 9</t>
  </si>
  <si>
    <r>
      <t xml:space="preserve">Hauptschule Coerde 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Ganztagsschule in Angebotsform</t>
    </r>
  </si>
  <si>
    <r>
      <t>Waldschule Kinderhaus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Ganztagsschule in Angebotsform</t>
    </r>
  </si>
  <si>
    <t>Typ B</t>
  </si>
  <si>
    <t>Waldschule Kinderhaus: Integrationsklassen / Integrative Lerngruppen in allen Jahrgängen</t>
  </si>
  <si>
    <t>Hauptschule Wolbeck: Integrationsklassen in allen Jahrgängen, Integrative Lerngruppe in JG 5, JG 10 Typ B: abschlussbezogene Binnendifferenzierung</t>
  </si>
  <si>
    <t>1.6       Hauptschulen</t>
  </si>
  <si>
    <t>Hauptschule</t>
  </si>
  <si>
    <t>2015/2016</t>
  </si>
  <si>
    <t>darunter
Ausländer</t>
  </si>
  <si>
    <t>Schülerinnen 
und Schüler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</si>
  <si>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Klassen im JG 10 mit  abschlussbezogener Binnendifferenzierung</t>
    </r>
  </si>
  <si>
    <r>
      <t>Geistschule</t>
    </r>
    <r>
      <rPr>
        <vertAlign val="superscript"/>
        <sz val="12"/>
        <rFont val="Arial"/>
        <family val="2"/>
      </rPr>
      <t>1)3)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Ganztagsschule in Angebotsform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</si>
  <si>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Im 7. Jahrgang incl. Pro-B-Klasse</t>
    </r>
  </si>
  <si>
    <t>2016/2017</t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</si>
  <si>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Die Schule wird auslaufend aufgelöst.</t>
    </r>
  </si>
  <si>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>Klassen im JG 10 mit  abschlussbezogener Binnendifferenzierung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</si>
  <si>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>Im 8. Jahrgang incl. Pro-B-Klasse</t>
    </r>
  </si>
  <si>
    <r>
      <t>Hauptschule Wolbeck</t>
    </r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</si>
  <si>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>Es wurden 9 klassenartübergreifende Mischklassen gebildet, in denen 29 Schülerinnen und Schüler in Vorbereitungsklassen unterrichtet werden.</t>
    </r>
  </si>
  <si>
    <t>2017/2018</t>
  </si>
  <si>
    <t>10. Jahrgang</t>
  </si>
  <si>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>Die Schule wird auslaufend aufgelöst.</t>
    </r>
  </si>
  <si>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>Klassen im Jahrgang 10 ohne Differenzierung in Typ A und B</t>
    </r>
  </si>
  <si>
    <r>
      <t>3)</t>
    </r>
    <r>
      <rPr>
        <sz val="11"/>
        <rFont val="Arial"/>
        <family val="2"/>
      </rPr>
      <t>Jahrgang 9 incl. 1 Sprachförderklasse mit 13 Schülerinnen und Schülern</t>
    </r>
  </si>
  <si>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Jahrgänge 6 bis 10 incl. 7 klassenartübergreifende Sprachförderklassen mit insgesamt 21 Schülerinnen und Schülern mit Sprachförderbedarf </t>
    </r>
  </si>
  <si>
    <t>2018/2019</t>
  </si>
  <si>
    <t xml:space="preserve"> </t>
  </si>
  <si>
    <t xml:space="preserve">  </t>
  </si>
  <si>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>Jahrgänge 5 bis 9 incl. 5 klassenartübergreifende Sprachförderklassen mit insgesamt 14 Schülerinnen und Schülern mit Sprachförderbedarf, Jahrgang 10 incl. 2 Integrative Lerngruppen mit insgesamt 5 Schülerinnen und Schülern</t>
    </r>
  </si>
  <si>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>Klassen im Jahrgang 10 mit abschlussbezogener Binnendifferenzierung</t>
    </r>
  </si>
  <si>
    <r>
      <t>Hauptschule Wolbeck</t>
    </r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</si>
  <si>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r>
      <t xml:space="preserve">Hauptschule Coerde 
</t>
    </r>
    <r>
      <rPr>
        <sz val="11"/>
        <rFont val="Arial"/>
        <family val="2"/>
      </rPr>
      <t>Gebundene Ganztagsschule</t>
    </r>
  </si>
  <si>
    <r>
      <t xml:space="preserve">Waldschule Kinderhaus
</t>
    </r>
    <r>
      <rPr>
        <sz val="11"/>
        <rFont val="Arial"/>
        <family val="2"/>
      </rPr>
      <t>Gebundene Ganztagsschule</t>
    </r>
  </si>
  <si>
    <r>
      <t>Geistschule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Gebundene Ganztagsschule</t>
    </r>
  </si>
  <si>
    <t>2019/2020</t>
  </si>
  <si>
    <r>
      <t>Hauptschule Wolbeck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</si>
  <si>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>Jahrgänge 5 bis 9 incl. 3 klassenartübergreifende Sprachförderklassen mit insgesamt 9 Schülerinnen und Schülern mit Sprachförderbedarf.</t>
    </r>
  </si>
  <si>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>Klassen im Jahrgang 10 mit abschlussbezogener Binnendifferenzierung</t>
    </r>
  </si>
  <si>
    <t>2020/2021</t>
  </si>
  <si>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>Jahrgänge 5 bis 9 incl. einer klassenartübergreifenden Sprachförderklasse mit insgesamt 8 Schülerinnen und Schülern mit Sprachförderbedarf.</t>
    </r>
  </si>
  <si>
    <t>2021/2022</t>
  </si>
  <si>
    <r>
      <t>Hauptschule Wolbeck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Erweiterte Ganztagsschule</t>
    </r>
  </si>
  <si>
    <r>
      <rPr>
        <sz val="11.5"/>
        <rFont val="Arial"/>
        <family val="2"/>
      </rPr>
      <t>Vorbereitungs-
klasse</t>
    </r>
    <r>
      <rPr>
        <vertAlign val="superscript"/>
        <sz val="12"/>
        <rFont val="Arial"/>
        <family val="2"/>
      </rPr>
      <t>1)</t>
    </r>
  </si>
  <si>
    <r>
      <t>1)</t>
    </r>
    <r>
      <rPr>
        <sz val="11"/>
        <rFont val="Arial"/>
        <family val="2"/>
      </rPr>
      <t xml:space="preserve"> Unterricht wird jahrgangsübergreifend erteilt.</t>
    </r>
  </si>
  <si>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>Aus datenschutzrechtlichen Gründen wird der Wert nicht ausgewiesen und in der Summe nicht berücksichtigt</t>
    </r>
  </si>
  <si>
    <t>1.6.1    Schüler/innen- und Klassenzahlen ab dem Schuljahr 2010/2011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</si>
</sst>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\ ###\ ;\-###\ ###\ ;\-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.19999999999999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9">
    <xf numFmtId="0" fontId="0" fillId="0" borderId="0" xfId="0"/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Fill="1"/>
    <xf numFmtId="0" fontId="15" fillId="0" borderId="0" xfId="0" applyFont="1" applyFill="1" applyAlignment="1">
      <alignment vertical="center"/>
    </xf>
    <xf numFmtId="0" fontId="9" fillId="0" borderId="0" xfId="0" applyFont="1" applyFill="1"/>
    <xf numFmtId="0" fontId="10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41" xfId="0" applyFont="1" applyFill="1" applyBorder="1"/>
    <xf numFmtId="3" fontId="9" fillId="0" borderId="4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11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32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6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12" fillId="0" borderId="0" xfId="0" applyFont="1" applyFill="1"/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1" fontId="8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65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164" fontId="8" fillId="0" borderId="0" xfId="0" applyNumberFormat="1" applyFont="1" applyFill="1"/>
    <xf numFmtId="0" fontId="8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Fill="1" applyBorder="1" applyAlignment="1">
      <alignment horizontal="center" vertical="center" wrapText="1"/>
    </xf>
    <xf numFmtId="165" fontId="8" fillId="0" borderId="55" xfId="0" applyNumberFormat="1" applyFont="1" applyFill="1" applyBorder="1" applyAlignment="1">
      <alignment horizontal="center" vertical="center" wrapText="1"/>
    </xf>
    <xf numFmtId="165" fontId="8" fillId="0" borderId="5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3" fontId="0" fillId="0" borderId="49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15</xdr:row>
      <xdr:rowOff>133350</xdr:rowOff>
    </xdr:from>
    <xdr:ext cx="1905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24025" y="602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15</xdr:row>
      <xdr:rowOff>133350</xdr:rowOff>
    </xdr:from>
    <xdr:ext cx="1905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811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57150</xdr:colOff>
      <xdr:row>15</xdr:row>
      <xdr:rowOff>133350</xdr:rowOff>
    </xdr:from>
    <xdr:ext cx="1905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811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</xdr:colOff>
      <xdr:row>15</xdr:row>
      <xdr:rowOff>133350</xdr:rowOff>
    </xdr:from>
    <xdr:ext cx="19050" cy="20002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7811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57150</xdr:colOff>
      <xdr:row>15</xdr:row>
      <xdr:rowOff>133350</xdr:rowOff>
    </xdr:from>
    <xdr:ext cx="19050" cy="20002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811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15</xdr:row>
      <xdr:rowOff>133350</xdr:rowOff>
    </xdr:from>
    <xdr:ext cx="76200" cy="20002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8573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57150</xdr:colOff>
      <xdr:row>15</xdr:row>
      <xdr:rowOff>133350</xdr:rowOff>
    </xdr:from>
    <xdr:ext cx="19050" cy="200025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8954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15</xdr:row>
      <xdr:rowOff>133350</xdr:rowOff>
    </xdr:from>
    <xdr:ext cx="19050" cy="20002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8954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15</xdr:row>
      <xdr:rowOff>133350</xdr:rowOff>
    </xdr:from>
    <xdr:ext cx="76200" cy="20002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954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57150</xdr:colOff>
      <xdr:row>15</xdr:row>
      <xdr:rowOff>133350</xdr:rowOff>
    </xdr:from>
    <xdr:ext cx="19050" cy="200025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9431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15</xdr:row>
      <xdr:rowOff>133350</xdr:rowOff>
    </xdr:from>
    <xdr:ext cx="19050" cy="200025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9431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57150</xdr:colOff>
      <xdr:row>15</xdr:row>
      <xdr:rowOff>133350</xdr:rowOff>
    </xdr:from>
    <xdr:ext cx="19050" cy="20002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9431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15</xdr:row>
      <xdr:rowOff>133350</xdr:rowOff>
    </xdr:from>
    <xdr:ext cx="76200" cy="200025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8573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15</xdr:row>
      <xdr:rowOff>133350</xdr:rowOff>
    </xdr:from>
    <xdr:ext cx="76200" cy="200025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8573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57150</xdr:colOff>
      <xdr:row>15</xdr:row>
      <xdr:rowOff>133350</xdr:rowOff>
    </xdr:from>
    <xdr:ext cx="19050" cy="200025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9431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73</xdr:col>
      <xdr:colOff>57150</xdr:colOff>
      <xdr:row>15</xdr:row>
      <xdr:rowOff>133350</xdr:rowOff>
    </xdr:from>
    <xdr:ext cx="76200" cy="200025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4479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80</xdr:col>
      <xdr:colOff>57150</xdr:colOff>
      <xdr:row>15</xdr:row>
      <xdr:rowOff>133350</xdr:rowOff>
    </xdr:from>
    <xdr:ext cx="76200" cy="200025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523875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57150</xdr:colOff>
      <xdr:row>15</xdr:row>
      <xdr:rowOff>133350</xdr:rowOff>
    </xdr:from>
    <xdr:ext cx="76200" cy="200025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8296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87</xdr:col>
      <xdr:colOff>57150</xdr:colOff>
      <xdr:row>15</xdr:row>
      <xdr:rowOff>133350</xdr:rowOff>
    </xdr:from>
    <xdr:ext cx="76200" cy="200025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8296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94</xdr:col>
      <xdr:colOff>57150</xdr:colOff>
      <xdr:row>15</xdr:row>
      <xdr:rowOff>133350</xdr:rowOff>
    </xdr:from>
    <xdr:ext cx="76200" cy="200025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12014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94</xdr:col>
      <xdr:colOff>57150</xdr:colOff>
      <xdr:row>15</xdr:row>
      <xdr:rowOff>133350</xdr:rowOff>
    </xdr:from>
    <xdr:ext cx="76200" cy="200025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12014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57150</xdr:colOff>
      <xdr:row>15</xdr:row>
      <xdr:rowOff>133350</xdr:rowOff>
    </xdr:from>
    <xdr:ext cx="76200" cy="200025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42494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101</xdr:col>
      <xdr:colOff>57150</xdr:colOff>
      <xdr:row>15</xdr:row>
      <xdr:rowOff>133350</xdr:rowOff>
    </xdr:from>
    <xdr:ext cx="76200" cy="200025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14249400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6"/>
  <sheetViews>
    <sheetView tabSelected="1" zoomScale="85" zoomScaleNormal="75" workbookViewId="0">
      <pane ySplit="6" topLeftCell="A7" activePane="bottomLeft" state="frozen"/>
      <selection pane="bottomLeft" activeCell="A4" sqref="A4:A6"/>
    </sheetView>
  </sheetViews>
  <sheetFormatPr baseColWidth="10" defaultColWidth="11.44140625" defaultRowHeight="20.100000000000001" customHeight="1" x14ac:dyDescent="0.25"/>
  <cols>
    <col min="1" max="1" width="5.88671875" style="107" customWidth="1"/>
    <col min="2" max="2" width="13.33203125" style="127" bestFit="1" customWidth="1"/>
    <col min="3" max="3" width="29.88671875" style="128" customWidth="1"/>
    <col min="4" max="4" width="5.6640625" style="107" customWidth="1"/>
    <col min="5" max="5" width="5" style="107" customWidth="1"/>
    <col min="6" max="6" width="3.5546875" style="107" customWidth="1"/>
    <col min="7" max="7" width="1.6640625" style="107" customWidth="1"/>
    <col min="8" max="8" width="5.6640625" style="107" customWidth="1"/>
    <col min="9" max="9" width="5" style="107" customWidth="1"/>
    <col min="10" max="10" width="3.5546875" style="107" customWidth="1"/>
    <col min="11" max="11" width="1.6640625" style="107" customWidth="1"/>
    <col min="12" max="12" width="5.6640625" style="107" customWidth="1"/>
    <col min="13" max="13" width="5" style="107" customWidth="1"/>
    <col min="14" max="14" width="3.5546875" style="107" customWidth="1"/>
    <col min="15" max="15" width="1.6640625" style="107" customWidth="1"/>
    <col min="16" max="16" width="5.109375" style="107" customWidth="1"/>
    <col min="17" max="17" width="5" style="107" customWidth="1"/>
    <col min="18" max="18" width="3.5546875" style="107" customWidth="1"/>
    <col min="19" max="19" width="1.6640625" style="107" customWidth="1"/>
    <col min="20" max="20" width="5.6640625" style="107" customWidth="1"/>
    <col min="21" max="21" width="5" style="107" customWidth="1"/>
    <col min="22" max="22" width="3.5546875" style="107" customWidth="1"/>
    <col min="23" max="23" width="1.6640625" style="107" customWidth="1"/>
    <col min="24" max="24" width="5.6640625" style="107" customWidth="1"/>
    <col min="25" max="25" width="5" style="107" customWidth="1"/>
    <col min="26" max="26" width="3.5546875" style="107" customWidth="1"/>
    <col min="27" max="27" width="1.6640625" style="107" customWidth="1"/>
    <col min="28" max="28" width="5.6640625" style="107" customWidth="1"/>
    <col min="29" max="29" width="5" style="107" customWidth="1"/>
    <col min="30" max="30" width="4.44140625" style="107" customWidth="1"/>
    <col min="31" max="31" width="6.109375" style="107" customWidth="1"/>
    <col min="32" max="32" width="5" style="107" customWidth="1"/>
    <col min="33" max="33" width="4.44140625" style="107" customWidth="1"/>
    <col min="34" max="34" width="7.44140625" style="107" customWidth="1"/>
    <col min="35" max="35" width="4.77734375" style="107" customWidth="1"/>
    <col min="36" max="36" width="6.109375" style="107" customWidth="1"/>
    <col min="37" max="37" width="5.5546875" style="107" customWidth="1"/>
    <col min="38" max="38" width="5.44140625" style="127" customWidth="1"/>
    <col min="39" max="39" width="5.6640625" style="107" customWidth="1"/>
    <col min="40" max="16384" width="11.44140625" style="107"/>
  </cols>
  <sheetData>
    <row r="1" spans="1:38" s="109" customFormat="1" ht="16.5" customHeight="1" x14ac:dyDescent="0.3">
      <c r="A1" s="109" t="s">
        <v>180</v>
      </c>
      <c r="B1" s="125"/>
      <c r="C1" s="126"/>
      <c r="AL1" s="125"/>
    </row>
    <row r="2" spans="1:38" s="109" customFormat="1" ht="15" customHeight="1" x14ac:dyDescent="0.3">
      <c r="A2" s="109" t="s">
        <v>220</v>
      </c>
      <c r="B2" s="125"/>
      <c r="C2" s="126"/>
      <c r="AL2" s="125"/>
    </row>
    <row r="3" spans="1:38" ht="15" customHeight="1" x14ac:dyDescent="0.25"/>
    <row r="4" spans="1:38" s="129" customFormat="1" ht="45" customHeight="1" x14ac:dyDescent="0.25">
      <c r="A4" s="215" t="s">
        <v>24</v>
      </c>
      <c r="B4" s="216" t="s">
        <v>0</v>
      </c>
      <c r="C4" s="233" t="s">
        <v>181</v>
      </c>
      <c r="D4" s="216" t="s">
        <v>1</v>
      </c>
      <c r="E4" s="216"/>
      <c r="F4" s="216"/>
      <c r="G4" s="216"/>
      <c r="H4" s="216" t="s">
        <v>2</v>
      </c>
      <c r="I4" s="216"/>
      <c r="J4" s="216"/>
      <c r="K4" s="216"/>
      <c r="L4" s="216" t="s">
        <v>3</v>
      </c>
      <c r="M4" s="216"/>
      <c r="N4" s="216"/>
      <c r="O4" s="216"/>
      <c r="P4" s="216" t="s">
        <v>4</v>
      </c>
      <c r="Q4" s="216"/>
      <c r="R4" s="216"/>
      <c r="S4" s="216"/>
      <c r="T4" s="216" t="s">
        <v>5</v>
      </c>
      <c r="U4" s="216"/>
      <c r="V4" s="216"/>
      <c r="W4" s="216"/>
      <c r="X4" s="216" t="s">
        <v>195</v>
      </c>
      <c r="Y4" s="216"/>
      <c r="Z4" s="216"/>
      <c r="AA4" s="216"/>
      <c r="AB4" s="216"/>
      <c r="AC4" s="216"/>
      <c r="AD4" s="216"/>
      <c r="AE4" s="215" t="s">
        <v>217</v>
      </c>
      <c r="AF4" s="215"/>
      <c r="AG4" s="215"/>
      <c r="AH4" s="215" t="s">
        <v>184</v>
      </c>
      <c r="AI4" s="216"/>
      <c r="AJ4" s="216"/>
      <c r="AK4" s="216"/>
      <c r="AL4" s="216" t="s">
        <v>6</v>
      </c>
    </row>
    <row r="5" spans="1:38" s="129" customFormat="1" ht="34.5" customHeight="1" x14ac:dyDescent="0.25">
      <c r="A5" s="216"/>
      <c r="B5" s="216"/>
      <c r="C5" s="216"/>
      <c r="D5" s="233" t="s">
        <v>8</v>
      </c>
      <c r="E5" s="216" t="s">
        <v>67</v>
      </c>
      <c r="F5" s="216" t="s">
        <v>9</v>
      </c>
      <c r="G5" s="216"/>
      <c r="H5" s="233" t="s">
        <v>8</v>
      </c>
      <c r="I5" s="216" t="s">
        <v>67</v>
      </c>
      <c r="J5" s="216" t="s">
        <v>6</v>
      </c>
      <c r="K5" s="216"/>
      <c r="L5" s="233" t="s">
        <v>8</v>
      </c>
      <c r="M5" s="216" t="s">
        <v>67</v>
      </c>
      <c r="N5" s="216" t="s">
        <v>6</v>
      </c>
      <c r="O5" s="216"/>
      <c r="P5" s="233" t="s">
        <v>8</v>
      </c>
      <c r="Q5" s="216" t="s">
        <v>67</v>
      </c>
      <c r="R5" s="216" t="s">
        <v>6</v>
      </c>
      <c r="S5" s="216"/>
      <c r="T5" s="233" t="s">
        <v>8</v>
      </c>
      <c r="U5" s="216" t="s">
        <v>67</v>
      </c>
      <c r="V5" s="216" t="s">
        <v>6</v>
      </c>
      <c r="W5" s="216"/>
      <c r="X5" s="216" t="s">
        <v>7</v>
      </c>
      <c r="Y5" s="216"/>
      <c r="Z5" s="216"/>
      <c r="AA5" s="216"/>
      <c r="AB5" s="216" t="s">
        <v>177</v>
      </c>
      <c r="AC5" s="216"/>
      <c r="AD5" s="216"/>
      <c r="AE5" s="215"/>
      <c r="AF5" s="215"/>
      <c r="AG5" s="215"/>
      <c r="AH5" s="233" t="s">
        <v>26</v>
      </c>
      <c r="AI5" s="233"/>
      <c r="AJ5" s="215" t="s">
        <v>183</v>
      </c>
      <c r="AK5" s="216"/>
      <c r="AL5" s="216"/>
    </row>
    <row r="6" spans="1:38" s="129" customFormat="1" ht="30" customHeight="1" x14ac:dyDescent="0.25">
      <c r="A6" s="216"/>
      <c r="B6" s="216"/>
      <c r="C6" s="216"/>
      <c r="D6" s="233"/>
      <c r="E6" s="216"/>
      <c r="F6" s="216"/>
      <c r="G6" s="216"/>
      <c r="H6" s="233"/>
      <c r="I6" s="216"/>
      <c r="J6" s="216"/>
      <c r="K6" s="216"/>
      <c r="L6" s="233"/>
      <c r="M6" s="216"/>
      <c r="N6" s="216"/>
      <c r="O6" s="216"/>
      <c r="P6" s="233"/>
      <c r="Q6" s="216"/>
      <c r="R6" s="216"/>
      <c r="S6" s="216"/>
      <c r="T6" s="233"/>
      <c r="U6" s="216"/>
      <c r="V6" s="216"/>
      <c r="W6" s="216"/>
      <c r="X6" s="100" t="s">
        <v>8</v>
      </c>
      <c r="Y6" s="101" t="s">
        <v>67</v>
      </c>
      <c r="Z6" s="216" t="s">
        <v>6</v>
      </c>
      <c r="AA6" s="216"/>
      <c r="AB6" s="100" t="s">
        <v>8</v>
      </c>
      <c r="AC6" s="101" t="s">
        <v>67</v>
      </c>
      <c r="AD6" s="101" t="s">
        <v>6</v>
      </c>
      <c r="AE6" s="100" t="s">
        <v>8</v>
      </c>
      <c r="AF6" s="101" t="s">
        <v>67</v>
      </c>
      <c r="AG6" s="101" t="s">
        <v>6</v>
      </c>
      <c r="AH6" s="130" t="s">
        <v>8</v>
      </c>
      <c r="AI6" s="101" t="s">
        <v>67</v>
      </c>
      <c r="AJ6" s="100" t="s">
        <v>8</v>
      </c>
      <c r="AK6" s="101" t="s">
        <v>67</v>
      </c>
      <c r="AL6" s="216"/>
    </row>
    <row r="7" spans="1:38" s="131" customFormat="1" ht="15.6" x14ac:dyDescent="0.25">
      <c r="A7" s="110">
        <v>1</v>
      </c>
      <c r="B7" s="110">
        <v>2</v>
      </c>
      <c r="C7" s="110">
        <v>2</v>
      </c>
      <c r="D7" s="110">
        <v>3</v>
      </c>
      <c r="E7" s="110">
        <v>4</v>
      </c>
      <c r="F7" s="224">
        <v>5</v>
      </c>
      <c r="G7" s="224"/>
      <c r="H7" s="110">
        <v>6</v>
      </c>
      <c r="I7" s="110">
        <v>7</v>
      </c>
      <c r="J7" s="224">
        <v>8</v>
      </c>
      <c r="K7" s="224"/>
      <c r="L7" s="110">
        <v>9</v>
      </c>
      <c r="M7" s="110">
        <v>10</v>
      </c>
      <c r="N7" s="224">
        <v>11</v>
      </c>
      <c r="O7" s="224"/>
      <c r="P7" s="110">
        <v>12</v>
      </c>
      <c r="Q7" s="110">
        <v>13</v>
      </c>
      <c r="R7" s="229">
        <v>14</v>
      </c>
      <c r="S7" s="230"/>
      <c r="T7" s="110">
        <v>15</v>
      </c>
      <c r="U7" s="110">
        <v>16</v>
      </c>
      <c r="V7" s="224">
        <v>17</v>
      </c>
      <c r="W7" s="224"/>
      <c r="X7" s="110">
        <v>18</v>
      </c>
      <c r="Y7" s="110">
        <v>19</v>
      </c>
      <c r="Z7" s="224">
        <v>20</v>
      </c>
      <c r="AA7" s="224"/>
      <c r="AB7" s="110">
        <v>21</v>
      </c>
      <c r="AC7" s="110">
        <v>22</v>
      </c>
      <c r="AD7" s="110">
        <v>23</v>
      </c>
      <c r="AE7" s="110">
        <v>24</v>
      </c>
      <c r="AF7" s="110">
        <v>25</v>
      </c>
      <c r="AG7" s="110">
        <v>26</v>
      </c>
      <c r="AH7" s="110">
        <v>27</v>
      </c>
      <c r="AI7" s="110">
        <v>28</v>
      </c>
      <c r="AJ7" s="110">
        <v>29</v>
      </c>
      <c r="AK7" s="110">
        <v>30</v>
      </c>
      <c r="AL7" s="110">
        <v>31</v>
      </c>
    </row>
    <row r="8" spans="1:38" s="127" customFormat="1" ht="33" x14ac:dyDescent="0.3">
      <c r="A8" s="132">
        <v>1</v>
      </c>
      <c r="B8" s="112" t="s">
        <v>98</v>
      </c>
      <c r="C8" s="146" t="s">
        <v>97</v>
      </c>
      <c r="D8" s="111">
        <v>37</v>
      </c>
      <c r="E8" s="112">
        <v>14</v>
      </c>
      <c r="F8" s="134">
        <v>2</v>
      </c>
      <c r="G8" s="154"/>
      <c r="H8" s="111">
        <v>44</v>
      </c>
      <c r="I8" s="112">
        <v>20</v>
      </c>
      <c r="J8" s="134">
        <v>2</v>
      </c>
      <c r="K8" s="149"/>
      <c r="L8" s="111">
        <v>52</v>
      </c>
      <c r="M8" s="112">
        <v>23</v>
      </c>
      <c r="N8" s="134">
        <v>2</v>
      </c>
      <c r="O8" s="149"/>
      <c r="P8" s="111">
        <v>45</v>
      </c>
      <c r="Q8" s="112">
        <v>19</v>
      </c>
      <c r="R8" s="134">
        <v>2</v>
      </c>
      <c r="S8" s="149"/>
      <c r="T8" s="111">
        <v>53</v>
      </c>
      <c r="U8" s="112">
        <v>23</v>
      </c>
      <c r="V8" s="134">
        <v>2</v>
      </c>
      <c r="W8" s="149"/>
      <c r="X8" s="111">
        <v>40</v>
      </c>
      <c r="Y8" s="112">
        <v>12</v>
      </c>
      <c r="Z8" s="134">
        <v>2</v>
      </c>
      <c r="AA8" s="135"/>
      <c r="AB8" s="111">
        <v>27</v>
      </c>
      <c r="AC8" s="112">
        <v>11</v>
      </c>
      <c r="AD8" s="112">
        <v>1</v>
      </c>
      <c r="AE8" s="111"/>
      <c r="AF8" s="112"/>
      <c r="AG8" s="112"/>
      <c r="AH8" s="111">
        <f t="shared" ref="AH8:AI15" si="0">D8+H8+L8+P8+T8+X8+AB8+AE8</f>
        <v>298</v>
      </c>
      <c r="AI8" s="111">
        <f t="shared" si="0"/>
        <v>122</v>
      </c>
      <c r="AJ8" s="111">
        <v>27</v>
      </c>
      <c r="AK8" s="112">
        <v>12</v>
      </c>
      <c r="AL8" s="136">
        <f>F8+J8+N8+R8+V8+Z8+AD8+AG8</f>
        <v>13</v>
      </c>
    </row>
    <row r="9" spans="1:38" s="127" customFormat="1" ht="33" x14ac:dyDescent="0.3">
      <c r="A9" s="132">
        <v>2</v>
      </c>
      <c r="B9" s="113" t="s">
        <v>98</v>
      </c>
      <c r="C9" s="133" t="s">
        <v>102</v>
      </c>
      <c r="D9" s="111">
        <v>12</v>
      </c>
      <c r="E9" s="112">
        <v>6</v>
      </c>
      <c r="F9" s="134"/>
      <c r="G9" s="149"/>
      <c r="H9" s="111">
        <v>35</v>
      </c>
      <c r="I9" s="112">
        <v>13</v>
      </c>
      <c r="J9" s="134">
        <v>2</v>
      </c>
      <c r="K9" s="149"/>
      <c r="L9" s="111">
        <v>36</v>
      </c>
      <c r="M9" s="112">
        <v>14</v>
      </c>
      <c r="N9" s="134">
        <v>2</v>
      </c>
      <c r="O9" s="149"/>
      <c r="P9" s="111">
        <v>30</v>
      </c>
      <c r="Q9" s="112">
        <v>19</v>
      </c>
      <c r="R9" s="134">
        <v>2</v>
      </c>
      <c r="S9" s="149"/>
      <c r="T9" s="111">
        <v>32</v>
      </c>
      <c r="U9" s="112">
        <v>15</v>
      </c>
      <c r="V9" s="134">
        <v>2</v>
      </c>
      <c r="W9" s="149"/>
      <c r="X9" s="111">
        <v>17</v>
      </c>
      <c r="Y9" s="112">
        <v>7</v>
      </c>
      <c r="Z9" s="134">
        <v>1</v>
      </c>
      <c r="AA9" s="135"/>
      <c r="AB9" s="111">
        <v>19</v>
      </c>
      <c r="AC9" s="112">
        <v>9</v>
      </c>
      <c r="AD9" s="112">
        <v>1</v>
      </c>
      <c r="AE9" s="111"/>
      <c r="AF9" s="112"/>
      <c r="AG9" s="112"/>
      <c r="AH9" s="116">
        <f t="shared" si="0"/>
        <v>181</v>
      </c>
      <c r="AI9" s="116">
        <f t="shared" si="0"/>
        <v>83</v>
      </c>
      <c r="AJ9" s="116">
        <v>34</v>
      </c>
      <c r="AK9" s="113">
        <v>15</v>
      </c>
      <c r="AL9" s="140">
        <f>F9+J9+N9+R9+V9+Z9+AD9+AG9</f>
        <v>10</v>
      </c>
    </row>
    <row r="10" spans="1:38" s="127" customFormat="1" ht="45.6" x14ac:dyDescent="0.3">
      <c r="A10" s="137">
        <v>3</v>
      </c>
      <c r="B10" s="113" t="s">
        <v>98</v>
      </c>
      <c r="C10" s="141" t="s">
        <v>71</v>
      </c>
      <c r="D10" s="116">
        <v>21</v>
      </c>
      <c r="E10" s="113">
        <v>9</v>
      </c>
      <c r="F10" s="138">
        <v>1</v>
      </c>
      <c r="G10" s="147" t="s">
        <v>19</v>
      </c>
      <c r="H10" s="116">
        <v>37</v>
      </c>
      <c r="I10" s="113">
        <v>11</v>
      </c>
      <c r="J10" s="138">
        <v>2</v>
      </c>
      <c r="K10" s="147" t="s">
        <v>19</v>
      </c>
      <c r="L10" s="116">
        <v>48</v>
      </c>
      <c r="M10" s="113">
        <v>26</v>
      </c>
      <c r="N10" s="138">
        <v>3</v>
      </c>
      <c r="O10" s="147"/>
      <c r="P10" s="116">
        <v>50</v>
      </c>
      <c r="Q10" s="113">
        <v>21</v>
      </c>
      <c r="R10" s="138">
        <v>2</v>
      </c>
      <c r="S10" s="147"/>
      <c r="T10" s="116">
        <v>39</v>
      </c>
      <c r="U10" s="113">
        <v>17</v>
      </c>
      <c r="V10" s="138">
        <v>2</v>
      </c>
      <c r="W10" s="147"/>
      <c r="X10" s="116">
        <v>21</v>
      </c>
      <c r="Y10" s="113">
        <v>7</v>
      </c>
      <c r="Z10" s="138">
        <v>1</v>
      </c>
      <c r="AA10" s="139"/>
      <c r="AB10" s="116">
        <v>30</v>
      </c>
      <c r="AC10" s="113">
        <v>11</v>
      </c>
      <c r="AD10" s="113">
        <v>1</v>
      </c>
      <c r="AE10" s="116">
        <v>59</v>
      </c>
      <c r="AF10" s="113">
        <v>27</v>
      </c>
      <c r="AG10" s="113">
        <v>4</v>
      </c>
      <c r="AH10" s="116">
        <f t="shared" si="0"/>
        <v>305</v>
      </c>
      <c r="AI10" s="116">
        <f t="shared" si="0"/>
        <v>129</v>
      </c>
      <c r="AJ10" s="116">
        <v>150</v>
      </c>
      <c r="AK10" s="113">
        <v>72</v>
      </c>
      <c r="AL10" s="140">
        <f>F10+J10+N10+R10+V10+Z10+AD10+AG10</f>
        <v>16</v>
      </c>
    </row>
    <row r="11" spans="1:38" s="127" customFormat="1" ht="45.6" x14ac:dyDescent="0.3">
      <c r="A11" s="137">
        <v>4</v>
      </c>
      <c r="B11" s="113" t="s">
        <v>98</v>
      </c>
      <c r="C11" s="141" t="s">
        <v>68</v>
      </c>
      <c r="D11" s="116">
        <v>36</v>
      </c>
      <c r="E11" s="113">
        <v>18</v>
      </c>
      <c r="F11" s="138">
        <v>2</v>
      </c>
      <c r="G11" s="147"/>
      <c r="H11" s="116">
        <v>36</v>
      </c>
      <c r="I11" s="113">
        <v>18</v>
      </c>
      <c r="J11" s="138">
        <v>2</v>
      </c>
      <c r="K11" s="147"/>
      <c r="L11" s="116">
        <v>40</v>
      </c>
      <c r="M11" s="113">
        <v>24</v>
      </c>
      <c r="N11" s="138">
        <v>2</v>
      </c>
      <c r="O11" s="147"/>
      <c r="P11" s="116">
        <v>42</v>
      </c>
      <c r="Q11" s="113">
        <v>18</v>
      </c>
      <c r="R11" s="138">
        <v>2</v>
      </c>
      <c r="S11" s="147"/>
      <c r="T11" s="116">
        <v>47</v>
      </c>
      <c r="U11" s="113">
        <v>22</v>
      </c>
      <c r="V11" s="138">
        <v>2</v>
      </c>
      <c r="W11" s="147"/>
      <c r="X11" s="116">
        <v>28</v>
      </c>
      <c r="Y11" s="113">
        <v>12</v>
      </c>
      <c r="Z11" s="138">
        <v>2</v>
      </c>
      <c r="AA11" s="139"/>
      <c r="AB11" s="116">
        <v>15</v>
      </c>
      <c r="AC11" s="113">
        <v>11</v>
      </c>
      <c r="AD11" s="113">
        <v>1</v>
      </c>
      <c r="AE11" s="116"/>
      <c r="AF11" s="113"/>
      <c r="AG11" s="113"/>
      <c r="AH11" s="116">
        <f t="shared" si="0"/>
        <v>244</v>
      </c>
      <c r="AI11" s="116">
        <f t="shared" si="0"/>
        <v>123</v>
      </c>
      <c r="AJ11" s="116">
        <v>51</v>
      </c>
      <c r="AK11" s="113">
        <v>27</v>
      </c>
      <c r="AL11" s="140">
        <f>F11+J11+N11+R11+V11+Z11+AD11+AG11</f>
        <v>13</v>
      </c>
    </row>
    <row r="12" spans="1:38" s="127" customFormat="1" ht="18" x14ac:dyDescent="0.3">
      <c r="A12" s="137">
        <v>5</v>
      </c>
      <c r="B12" s="113" t="s">
        <v>98</v>
      </c>
      <c r="C12" s="141" t="s">
        <v>99</v>
      </c>
      <c r="D12" s="116">
        <v>43</v>
      </c>
      <c r="E12" s="113">
        <v>27</v>
      </c>
      <c r="F12" s="138">
        <v>2</v>
      </c>
      <c r="G12" s="147"/>
      <c r="H12" s="116">
        <v>49</v>
      </c>
      <c r="I12" s="113">
        <v>23</v>
      </c>
      <c r="J12" s="138">
        <v>2</v>
      </c>
      <c r="K12" s="147"/>
      <c r="L12" s="116">
        <v>64</v>
      </c>
      <c r="M12" s="113">
        <v>24</v>
      </c>
      <c r="N12" s="138">
        <v>3</v>
      </c>
      <c r="O12" s="147"/>
      <c r="P12" s="116">
        <v>58</v>
      </c>
      <c r="Q12" s="113">
        <v>23</v>
      </c>
      <c r="R12" s="138">
        <v>3</v>
      </c>
      <c r="S12" s="147"/>
      <c r="T12" s="116">
        <v>85</v>
      </c>
      <c r="U12" s="113">
        <v>38</v>
      </c>
      <c r="V12" s="138">
        <v>4</v>
      </c>
      <c r="W12" s="147" t="s">
        <v>15</v>
      </c>
      <c r="X12" s="116">
        <v>63</v>
      </c>
      <c r="Y12" s="113">
        <v>25</v>
      </c>
      <c r="Z12" s="138">
        <v>3</v>
      </c>
      <c r="AA12" s="139"/>
      <c r="AB12" s="116">
        <v>12</v>
      </c>
      <c r="AC12" s="113">
        <v>3</v>
      </c>
      <c r="AD12" s="113">
        <v>1</v>
      </c>
      <c r="AE12" s="116"/>
      <c r="AF12" s="113"/>
      <c r="AG12" s="113"/>
      <c r="AH12" s="116">
        <f t="shared" si="0"/>
        <v>374</v>
      </c>
      <c r="AI12" s="116">
        <f t="shared" si="0"/>
        <v>163</v>
      </c>
      <c r="AJ12" s="116">
        <v>64</v>
      </c>
      <c r="AK12" s="113">
        <v>25</v>
      </c>
      <c r="AL12" s="140">
        <f>F12+J12+N12+R12+V12+Z12+AD12+AG12</f>
        <v>18</v>
      </c>
    </row>
    <row r="13" spans="1:38" s="127" customFormat="1" ht="30.6" x14ac:dyDescent="0.3">
      <c r="A13" s="137">
        <v>6</v>
      </c>
      <c r="B13" s="148" t="s">
        <v>98</v>
      </c>
      <c r="C13" s="141" t="s">
        <v>95</v>
      </c>
      <c r="D13" s="116">
        <v>29</v>
      </c>
      <c r="E13" s="113">
        <v>10</v>
      </c>
      <c r="F13" s="138">
        <v>1</v>
      </c>
      <c r="G13" s="147"/>
      <c r="H13" s="116">
        <v>30</v>
      </c>
      <c r="I13" s="113">
        <v>13</v>
      </c>
      <c r="J13" s="138">
        <v>1</v>
      </c>
      <c r="K13" s="147"/>
      <c r="L13" s="116">
        <v>44</v>
      </c>
      <c r="M13" s="113">
        <v>22</v>
      </c>
      <c r="N13" s="138">
        <v>2</v>
      </c>
      <c r="O13" s="147"/>
      <c r="P13" s="116">
        <v>50</v>
      </c>
      <c r="Q13" s="113">
        <v>25</v>
      </c>
      <c r="R13" s="138">
        <v>2</v>
      </c>
      <c r="S13" s="147"/>
      <c r="T13" s="116">
        <v>47</v>
      </c>
      <c r="U13" s="113">
        <v>28</v>
      </c>
      <c r="V13" s="138">
        <v>2</v>
      </c>
      <c r="W13" s="147"/>
      <c r="X13" s="116">
        <v>21</v>
      </c>
      <c r="Y13" s="113">
        <v>12</v>
      </c>
      <c r="Z13" s="138">
        <v>1</v>
      </c>
      <c r="AA13" s="139"/>
      <c r="AB13" s="116">
        <v>25</v>
      </c>
      <c r="AC13" s="113">
        <v>14</v>
      </c>
      <c r="AD13" s="113">
        <v>1</v>
      </c>
      <c r="AE13" s="116"/>
      <c r="AF13" s="113"/>
      <c r="AG13" s="113"/>
      <c r="AH13" s="116">
        <f t="shared" si="0"/>
        <v>246</v>
      </c>
      <c r="AI13" s="116">
        <f t="shared" si="0"/>
        <v>124</v>
      </c>
      <c r="AJ13" s="116">
        <v>33</v>
      </c>
      <c r="AK13" s="113">
        <v>19</v>
      </c>
      <c r="AL13" s="140">
        <f>F13+J13+N13+R13+V13+Z13+AD13+AG13</f>
        <v>10</v>
      </c>
    </row>
    <row r="14" spans="1:38" s="127" customFormat="1" ht="45.6" x14ac:dyDescent="0.3">
      <c r="A14" s="137">
        <v>7</v>
      </c>
      <c r="B14" s="113" t="s">
        <v>98</v>
      </c>
      <c r="C14" s="141" t="s">
        <v>72</v>
      </c>
      <c r="D14" s="116">
        <v>38</v>
      </c>
      <c r="E14" s="113">
        <v>8</v>
      </c>
      <c r="F14" s="138">
        <v>2</v>
      </c>
      <c r="G14" s="147"/>
      <c r="H14" s="116">
        <v>41</v>
      </c>
      <c r="I14" s="113">
        <v>19</v>
      </c>
      <c r="J14" s="138">
        <v>2</v>
      </c>
      <c r="K14" s="147"/>
      <c r="L14" s="116">
        <v>37</v>
      </c>
      <c r="M14" s="113">
        <v>16</v>
      </c>
      <c r="N14" s="138">
        <v>2</v>
      </c>
      <c r="O14" s="147"/>
      <c r="P14" s="116">
        <v>52</v>
      </c>
      <c r="Q14" s="113">
        <v>21</v>
      </c>
      <c r="R14" s="138">
        <v>2</v>
      </c>
      <c r="S14" s="147"/>
      <c r="T14" s="116">
        <v>59</v>
      </c>
      <c r="U14" s="113">
        <v>29</v>
      </c>
      <c r="V14" s="138">
        <v>3</v>
      </c>
      <c r="W14" s="147"/>
      <c r="X14" s="116">
        <v>24</v>
      </c>
      <c r="Y14" s="113">
        <v>11</v>
      </c>
      <c r="Z14" s="138">
        <v>1</v>
      </c>
      <c r="AA14" s="139"/>
      <c r="AB14" s="116">
        <v>20</v>
      </c>
      <c r="AC14" s="113">
        <v>13</v>
      </c>
      <c r="AD14" s="113">
        <v>1</v>
      </c>
      <c r="AE14" s="116"/>
      <c r="AF14" s="113"/>
      <c r="AG14" s="113"/>
      <c r="AH14" s="116">
        <f t="shared" si="0"/>
        <v>271</v>
      </c>
      <c r="AI14" s="116">
        <f t="shared" si="0"/>
        <v>117</v>
      </c>
      <c r="AJ14" s="116">
        <v>55</v>
      </c>
      <c r="AK14" s="113">
        <v>23</v>
      </c>
      <c r="AL14" s="140">
        <f>F14+J14+N14+R14+V14+Z14+AD14+AG14</f>
        <v>13</v>
      </c>
    </row>
    <row r="15" spans="1:38" s="127" customFormat="1" ht="48.6" thickBot="1" x14ac:dyDescent="0.35">
      <c r="A15" s="137">
        <v>8</v>
      </c>
      <c r="B15" s="112" t="s">
        <v>98</v>
      </c>
      <c r="C15" s="141" t="s">
        <v>103</v>
      </c>
      <c r="D15" s="116">
        <v>21</v>
      </c>
      <c r="E15" s="113">
        <v>10</v>
      </c>
      <c r="F15" s="138">
        <v>1</v>
      </c>
      <c r="G15" s="147"/>
      <c r="H15" s="116">
        <v>19</v>
      </c>
      <c r="I15" s="113">
        <v>5</v>
      </c>
      <c r="J15" s="138">
        <v>1</v>
      </c>
      <c r="K15" s="147"/>
      <c r="L15" s="116">
        <v>18</v>
      </c>
      <c r="M15" s="113">
        <v>9</v>
      </c>
      <c r="N15" s="138">
        <v>1</v>
      </c>
      <c r="O15" s="147"/>
      <c r="P15" s="116">
        <v>35</v>
      </c>
      <c r="Q15" s="113">
        <v>18</v>
      </c>
      <c r="R15" s="138">
        <v>2</v>
      </c>
      <c r="S15" s="147"/>
      <c r="T15" s="116">
        <v>35</v>
      </c>
      <c r="U15" s="113">
        <v>16</v>
      </c>
      <c r="V15" s="138">
        <v>2</v>
      </c>
      <c r="W15" s="147" t="s">
        <v>15</v>
      </c>
      <c r="X15" s="116">
        <v>17</v>
      </c>
      <c r="Y15" s="113">
        <v>7</v>
      </c>
      <c r="Z15" s="138">
        <v>1</v>
      </c>
      <c r="AA15" s="147"/>
      <c r="AB15" s="116">
        <v>18</v>
      </c>
      <c r="AC15" s="113">
        <v>6</v>
      </c>
      <c r="AD15" s="113">
        <v>1</v>
      </c>
      <c r="AE15" s="116"/>
      <c r="AF15" s="113"/>
      <c r="AG15" s="113"/>
      <c r="AH15" s="111">
        <f t="shared" si="0"/>
        <v>163</v>
      </c>
      <c r="AI15" s="111">
        <f t="shared" si="0"/>
        <v>71</v>
      </c>
      <c r="AJ15" s="114">
        <v>18</v>
      </c>
      <c r="AK15" s="145">
        <v>8</v>
      </c>
      <c r="AL15" s="155">
        <f>F15+J15+N15+R15+V15+Z15+AD15+AG15</f>
        <v>9</v>
      </c>
    </row>
    <row r="16" spans="1:38" s="127" customFormat="1" ht="16.2" thickBot="1" x14ac:dyDescent="0.35">
      <c r="A16" s="144"/>
      <c r="B16" s="115" t="s">
        <v>98</v>
      </c>
      <c r="C16" s="142" t="s">
        <v>31</v>
      </c>
      <c r="D16" s="118">
        <f>SUM(D8:D15)</f>
        <v>237</v>
      </c>
      <c r="E16" s="118">
        <f>SUM(E8:E15)</f>
        <v>102</v>
      </c>
      <c r="F16" s="227">
        <f>SUM(F8:F15)</f>
        <v>11</v>
      </c>
      <c r="G16" s="228"/>
      <c r="H16" s="118">
        <f>SUM(H8:H15)</f>
        <v>291</v>
      </c>
      <c r="I16" s="118">
        <f>SUM(I8:I15)</f>
        <v>122</v>
      </c>
      <c r="J16" s="227">
        <f>SUM(J8:J15)</f>
        <v>14</v>
      </c>
      <c r="K16" s="228"/>
      <c r="L16" s="118">
        <f>SUM(L8:L15)</f>
        <v>339</v>
      </c>
      <c r="M16" s="118">
        <f>SUM(M8:M15)</f>
        <v>158</v>
      </c>
      <c r="N16" s="227">
        <f>SUM(N8:N15)</f>
        <v>17</v>
      </c>
      <c r="O16" s="228"/>
      <c r="P16" s="118">
        <f>SUM(P8:P15)</f>
        <v>362</v>
      </c>
      <c r="Q16" s="118">
        <f>SUM(Q8:Q15)</f>
        <v>164</v>
      </c>
      <c r="R16" s="227">
        <f>SUM(R8:R15)</f>
        <v>17</v>
      </c>
      <c r="S16" s="228"/>
      <c r="T16" s="118">
        <f>SUM(T8:T15)</f>
        <v>397</v>
      </c>
      <c r="U16" s="118">
        <f>SUM(U8:U15)</f>
        <v>188</v>
      </c>
      <c r="V16" s="227">
        <f>SUM(V8:V15)</f>
        <v>19</v>
      </c>
      <c r="W16" s="228"/>
      <c r="X16" s="118">
        <f>SUM(X8:X15)</f>
        <v>231</v>
      </c>
      <c r="Y16" s="118">
        <f>SUM(Y8:Y15)</f>
        <v>93</v>
      </c>
      <c r="Z16" s="227">
        <f>SUM(Z8:Z15)</f>
        <v>12</v>
      </c>
      <c r="AA16" s="228"/>
      <c r="AB16" s="118">
        <f t="shared" ref="AB16:AK16" si="1">SUM(AB8:AB15)</f>
        <v>166</v>
      </c>
      <c r="AC16" s="118">
        <f t="shared" si="1"/>
        <v>78</v>
      </c>
      <c r="AD16" s="118">
        <f t="shared" si="1"/>
        <v>8</v>
      </c>
      <c r="AE16" s="118">
        <f t="shared" si="1"/>
        <v>59</v>
      </c>
      <c r="AF16" s="118">
        <f t="shared" si="1"/>
        <v>27</v>
      </c>
      <c r="AG16" s="118">
        <f t="shared" si="1"/>
        <v>4</v>
      </c>
      <c r="AH16" s="118">
        <f t="shared" si="1"/>
        <v>2082</v>
      </c>
      <c r="AI16" s="118">
        <f t="shared" si="1"/>
        <v>932</v>
      </c>
      <c r="AJ16" s="118">
        <f t="shared" si="1"/>
        <v>432</v>
      </c>
      <c r="AK16" s="118">
        <f t="shared" si="1"/>
        <v>201</v>
      </c>
      <c r="AL16" s="156">
        <f>F16+J16+N16+R16+V16+Z16+AD16+AG16</f>
        <v>102</v>
      </c>
    </row>
    <row r="17" spans="1:38" ht="15.6" x14ac:dyDescent="0.25">
      <c r="A17" s="152" t="s">
        <v>100</v>
      </c>
      <c r="B17" s="107"/>
      <c r="C17" s="107"/>
      <c r="AJ17" s="127"/>
      <c r="AL17" s="107"/>
    </row>
    <row r="18" spans="1:38" ht="15.6" x14ac:dyDescent="0.25">
      <c r="A18" s="153" t="s">
        <v>101</v>
      </c>
      <c r="B18" s="107"/>
      <c r="C18" s="107"/>
      <c r="AJ18" s="127"/>
      <c r="AL18" s="107"/>
    </row>
    <row r="19" spans="1:38" ht="35.4" x14ac:dyDescent="0.3">
      <c r="A19" s="132">
        <v>1</v>
      </c>
      <c r="B19" s="112" t="s">
        <v>104</v>
      </c>
      <c r="C19" s="146" t="s">
        <v>135</v>
      </c>
      <c r="D19" s="111">
        <v>36</v>
      </c>
      <c r="E19" s="112">
        <v>15</v>
      </c>
      <c r="F19" s="134">
        <v>2</v>
      </c>
      <c r="G19" s="157" t="s">
        <v>19</v>
      </c>
      <c r="H19" s="111">
        <v>45</v>
      </c>
      <c r="I19" s="112">
        <v>11</v>
      </c>
      <c r="J19" s="134">
        <v>2</v>
      </c>
      <c r="K19" s="149" t="s">
        <v>19</v>
      </c>
      <c r="L19" s="111">
        <v>50</v>
      </c>
      <c r="M19" s="112">
        <v>23</v>
      </c>
      <c r="N19" s="134">
        <v>2</v>
      </c>
      <c r="O19" s="149" t="s">
        <v>19</v>
      </c>
      <c r="P19" s="111">
        <v>58</v>
      </c>
      <c r="Q19" s="112">
        <v>25</v>
      </c>
      <c r="R19" s="134">
        <v>2</v>
      </c>
      <c r="S19" s="149" t="s">
        <v>19</v>
      </c>
      <c r="T19" s="111">
        <v>49</v>
      </c>
      <c r="U19" s="112">
        <v>22</v>
      </c>
      <c r="V19" s="134">
        <v>2</v>
      </c>
      <c r="W19" s="149"/>
      <c r="X19" s="111">
        <v>21</v>
      </c>
      <c r="Y19" s="112">
        <v>7</v>
      </c>
      <c r="Z19" s="134">
        <v>1</v>
      </c>
      <c r="AA19" s="135"/>
      <c r="AB19" s="111">
        <v>21</v>
      </c>
      <c r="AC19" s="112">
        <v>11</v>
      </c>
      <c r="AD19" s="112">
        <v>1</v>
      </c>
      <c r="AE19" s="111"/>
      <c r="AF19" s="112"/>
      <c r="AG19" s="112"/>
      <c r="AH19" s="111">
        <f t="shared" ref="AH19:AI25" si="2">D19+H19+L19+P19+T19+X19+AB19+AE19</f>
        <v>280</v>
      </c>
      <c r="AI19" s="111">
        <f t="shared" si="2"/>
        <v>114</v>
      </c>
      <c r="AJ19" s="111">
        <v>21</v>
      </c>
      <c r="AK19" s="112">
        <v>13</v>
      </c>
      <c r="AL19" s="136">
        <f>F19+J19+N19+R19+V19+Z19+AD19+AG19</f>
        <v>12</v>
      </c>
    </row>
    <row r="20" spans="1:38" ht="30.6" x14ac:dyDescent="0.3">
      <c r="A20" s="132">
        <v>2</v>
      </c>
      <c r="B20" s="113" t="s">
        <v>104</v>
      </c>
      <c r="C20" s="133" t="s">
        <v>133</v>
      </c>
      <c r="D20" s="111">
        <v>0</v>
      </c>
      <c r="E20" s="112"/>
      <c r="F20" s="134"/>
      <c r="G20" s="149"/>
      <c r="H20" s="111">
        <v>18</v>
      </c>
      <c r="I20" s="112">
        <v>9</v>
      </c>
      <c r="J20" s="134">
        <v>1</v>
      </c>
      <c r="K20" s="149"/>
      <c r="L20" s="111">
        <v>59</v>
      </c>
      <c r="M20" s="112">
        <v>19</v>
      </c>
      <c r="N20" s="134">
        <v>3</v>
      </c>
      <c r="O20" s="149"/>
      <c r="P20" s="111">
        <v>47</v>
      </c>
      <c r="Q20" s="112">
        <v>16</v>
      </c>
      <c r="R20" s="134">
        <v>2</v>
      </c>
      <c r="S20" s="149"/>
      <c r="T20" s="111">
        <v>68</v>
      </c>
      <c r="U20" s="112">
        <v>39</v>
      </c>
      <c r="V20" s="134">
        <v>3</v>
      </c>
      <c r="W20" s="149"/>
      <c r="X20" s="111">
        <v>24</v>
      </c>
      <c r="Y20" s="112">
        <v>13</v>
      </c>
      <c r="Z20" s="134">
        <v>1</v>
      </c>
      <c r="AA20" s="135"/>
      <c r="AB20" s="111">
        <v>23</v>
      </c>
      <c r="AC20" s="112">
        <v>11</v>
      </c>
      <c r="AD20" s="112">
        <v>1</v>
      </c>
      <c r="AE20" s="111"/>
      <c r="AF20" s="112"/>
      <c r="AG20" s="112"/>
      <c r="AH20" s="116">
        <f t="shared" si="2"/>
        <v>239</v>
      </c>
      <c r="AI20" s="116">
        <f t="shared" si="2"/>
        <v>107</v>
      </c>
      <c r="AJ20" s="116">
        <v>34</v>
      </c>
      <c r="AK20" s="113">
        <v>15</v>
      </c>
      <c r="AL20" s="140">
        <f>F20+J20+N20+R20+V20+Z20+AD20+AG20</f>
        <v>11</v>
      </c>
    </row>
    <row r="21" spans="1:38" ht="45.6" x14ac:dyDescent="0.3">
      <c r="A21" s="137">
        <v>3</v>
      </c>
      <c r="B21" s="113" t="s">
        <v>104</v>
      </c>
      <c r="C21" s="141" t="s">
        <v>136</v>
      </c>
      <c r="D21" s="116">
        <f>8+9+10</f>
        <v>27</v>
      </c>
      <c r="E21" s="113">
        <f>4+6+6</f>
        <v>16</v>
      </c>
      <c r="F21" s="158">
        <v>1.5</v>
      </c>
      <c r="G21" s="147" t="s">
        <v>16</v>
      </c>
      <c r="H21" s="116">
        <f>10+8+6+1</f>
        <v>25</v>
      </c>
      <c r="I21" s="113">
        <f>4+1+5+0</f>
        <v>10</v>
      </c>
      <c r="J21" s="158">
        <v>1.5</v>
      </c>
      <c r="K21" s="147" t="s">
        <v>16</v>
      </c>
      <c r="L21" s="116">
        <f>21+1+21+8</f>
        <v>51</v>
      </c>
      <c r="M21" s="113">
        <f>5+1+8+3</f>
        <v>17</v>
      </c>
      <c r="N21" s="138">
        <v>2</v>
      </c>
      <c r="O21" s="147"/>
      <c r="P21" s="116">
        <f>5+14+3+1+19+1</f>
        <v>43</v>
      </c>
      <c r="Q21" s="113">
        <f>3+6+1+9</f>
        <v>19</v>
      </c>
      <c r="R21" s="138">
        <v>2</v>
      </c>
      <c r="S21" s="147"/>
      <c r="T21" s="116">
        <f>25+1+26+1</f>
        <v>53</v>
      </c>
      <c r="U21" s="113">
        <v>23</v>
      </c>
      <c r="V21" s="138">
        <v>2</v>
      </c>
      <c r="W21" s="147"/>
      <c r="X21" s="116">
        <v>38</v>
      </c>
      <c r="Y21" s="113">
        <v>17</v>
      </c>
      <c r="Z21" s="138">
        <v>2</v>
      </c>
      <c r="AA21" s="139"/>
      <c r="AB21" s="116">
        <v>28</v>
      </c>
      <c r="AC21" s="113">
        <v>14</v>
      </c>
      <c r="AD21" s="113">
        <v>1</v>
      </c>
      <c r="AE21" s="116">
        <f>46+23+17</f>
        <v>86</v>
      </c>
      <c r="AF21" s="113">
        <f>21+12+6</f>
        <v>39</v>
      </c>
      <c r="AG21" s="113">
        <v>4</v>
      </c>
      <c r="AH21" s="116">
        <f t="shared" si="2"/>
        <v>351</v>
      </c>
      <c r="AI21" s="116">
        <f t="shared" si="2"/>
        <v>155</v>
      </c>
      <c r="AJ21" s="116">
        <v>188</v>
      </c>
      <c r="AK21" s="113">
        <v>87</v>
      </c>
      <c r="AL21" s="140">
        <f>F21+J21+N21+R21+V21+Z21+AD21+AG21</f>
        <v>16</v>
      </c>
    </row>
    <row r="22" spans="1:38" ht="45.6" x14ac:dyDescent="0.3">
      <c r="A22" s="137">
        <v>4</v>
      </c>
      <c r="B22" s="113" t="s">
        <v>104</v>
      </c>
      <c r="C22" s="141" t="s">
        <v>68</v>
      </c>
      <c r="D22" s="116">
        <v>35</v>
      </c>
      <c r="E22" s="113">
        <v>18</v>
      </c>
      <c r="F22" s="138">
        <v>2</v>
      </c>
      <c r="G22" s="147" t="s">
        <v>17</v>
      </c>
      <c r="H22" s="116">
        <v>37</v>
      </c>
      <c r="I22" s="113">
        <v>19</v>
      </c>
      <c r="J22" s="138">
        <v>2</v>
      </c>
      <c r="K22" s="147" t="s">
        <v>17</v>
      </c>
      <c r="L22" s="116">
        <v>40</v>
      </c>
      <c r="M22" s="113">
        <v>21</v>
      </c>
      <c r="N22" s="138">
        <v>2</v>
      </c>
      <c r="O22" s="147" t="s">
        <v>17</v>
      </c>
      <c r="P22" s="116">
        <v>47</v>
      </c>
      <c r="Q22" s="113">
        <v>28</v>
      </c>
      <c r="R22" s="138">
        <v>2</v>
      </c>
      <c r="S22" s="147" t="s">
        <v>17</v>
      </c>
      <c r="T22" s="116">
        <v>39</v>
      </c>
      <c r="U22" s="113">
        <v>15</v>
      </c>
      <c r="V22" s="138">
        <v>2</v>
      </c>
      <c r="W22" s="147"/>
      <c r="X22" s="116">
        <v>22</v>
      </c>
      <c r="Y22" s="113">
        <v>8</v>
      </c>
      <c r="Z22" s="138">
        <v>1</v>
      </c>
      <c r="AA22" s="139"/>
      <c r="AB22" s="116">
        <v>18</v>
      </c>
      <c r="AC22" s="113">
        <v>9</v>
      </c>
      <c r="AD22" s="113">
        <v>1</v>
      </c>
      <c r="AE22" s="116"/>
      <c r="AF22" s="113"/>
      <c r="AG22" s="113"/>
      <c r="AH22" s="116">
        <f t="shared" si="2"/>
        <v>238</v>
      </c>
      <c r="AI22" s="116">
        <f t="shared" si="2"/>
        <v>118</v>
      </c>
      <c r="AJ22" s="116">
        <v>50</v>
      </c>
      <c r="AK22" s="113">
        <v>23</v>
      </c>
      <c r="AL22" s="140">
        <f>F22+J22+N22+R22+V22+Z22+AD22+AG22</f>
        <v>12</v>
      </c>
    </row>
    <row r="23" spans="1:38" ht="18" x14ac:dyDescent="0.3">
      <c r="A23" s="137">
        <v>5</v>
      </c>
      <c r="B23" s="113" t="s">
        <v>104</v>
      </c>
      <c r="C23" s="141" t="s">
        <v>11</v>
      </c>
      <c r="D23" s="116">
        <v>39</v>
      </c>
      <c r="E23" s="113">
        <v>25</v>
      </c>
      <c r="F23" s="138">
        <v>2</v>
      </c>
      <c r="G23" s="147"/>
      <c r="H23" s="116">
        <v>49</v>
      </c>
      <c r="I23" s="113">
        <v>32</v>
      </c>
      <c r="J23" s="138">
        <v>2</v>
      </c>
      <c r="K23" s="147"/>
      <c r="L23" s="116">
        <v>55</v>
      </c>
      <c r="M23" s="113">
        <v>30</v>
      </c>
      <c r="N23" s="138">
        <v>2</v>
      </c>
      <c r="O23" s="147"/>
      <c r="P23" s="116">
        <v>66</v>
      </c>
      <c r="Q23" s="113">
        <v>26</v>
      </c>
      <c r="R23" s="138">
        <v>3</v>
      </c>
      <c r="S23" s="147"/>
      <c r="T23" s="116">
        <v>75</v>
      </c>
      <c r="U23" s="113">
        <v>30</v>
      </c>
      <c r="V23" s="138">
        <v>4</v>
      </c>
      <c r="W23" s="147" t="s">
        <v>15</v>
      </c>
      <c r="X23" s="116">
        <v>42</v>
      </c>
      <c r="Y23" s="113">
        <v>21</v>
      </c>
      <c r="Z23" s="138">
        <v>2</v>
      </c>
      <c r="AA23" s="139">
        <v>0</v>
      </c>
      <c r="AB23" s="116">
        <v>23</v>
      </c>
      <c r="AC23" s="113">
        <v>9</v>
      </c>
      <c r="AD23" s="113">
        <v>1</v>
      </c>
      <c r="AE23" s="116"/>
      <c r="AF23" s="113"/>
      <c r="AG23" s="113"/>
      <c r="AH23" s="116">
        <f t="shared" si="2"/>
        <v>349</v>
      </c>
      <c r="AI23" s="116">
        <f t="shared" si="2"/>
        <v>173</v>
      </c>
      <c r="AJ23" s="116">
        <v>53</v>
      </c>
      <c r="AK23" s="113">
        <v>23</v>
      </c>
      <c r="AL23" s="140">
        <f>F23+J23+N23+R23+V23+Z23+AD23+AG23</f>
        <v>16</v>
      </c>
    </row>
    <row r="24" spans="1:38" ht="30.6" x14ac:dyDescent="0.3">
      <c r="A24" s="137">
        <v>6</v>
      </c>
      <c r="B24" s="148" t="s">
        <v>104</v>
      </c>
      <c r="C24" s="141" t="s">
        <v>95</v>
      </c>
      <c r="D24" s="116">
        <v>36</v>
      </c>
      <c r="E24" s="113">
        <v>11</v>
      </c>
      <c r="F24" s="138">
        <v>2</v>
      </c>
      <c r="G24" s="147"/>
      <c r="H24" s="116">
        <v>28</v>
      </c>
      <c r="I24" s="113">
        <v>11</v>
      </c>
      <c r="J24" s="138">
        <v>1</v>
      </c>
      <c r="K24" s="147"/>
      <c r="L24" s="116">
        <v>38</v>
      </c>
      <c r="M24" s="113">
        <v>14</v>
      </c>
      <c r="N24" s="138">
        <v>2</v>
      </c>
      <c r="O24" s="147"/>
      <c r="P24" s="116">
        <v>51</v>
      </c>
      <c r="Q24" s="113">
        <v>27</v>
      </c>
      <c r="R24" s="138">
        <v>2</v>
      </c>
      <c r="S24" s="147"/>
      <c r="T24" s="116">
        <v>56</v>
      </c>
      <c r="U24" s="113">
        <v>27</v>
      </c>
      <c r="V24" s="138">
        <v>2</v>
      </c>
      <c r="W24" s="147"/>
      <c r="X24" s="116">
        <v>23</v>
      </c>
      <c r="Y24" s="113">
        <v>12</v>
      </c>
      <c r="Z24" s="138">
        <v>1</v>
      </c>
      <c r="AA24" s="139"/>
      <c r="AB24" s="116">
        <v>19</v>
      </c>
      <c r="AC24" s="113">
        <v>10</v>
      </c>
      <c r="AD24" s="113">
        <v>1</v>
      </c>
      <c r="AE24" s="116"/>
      <c r="AF24" s="113"/>
      <c r="AG24" s="113"/>
      <c r="AH24" s="116">
        <f t="shared" si="2"/>
        <v>251</v>
      </c>
      <c r="AI24" s="116">
        <f t="shared" si="2"/>
        <v>112</v>
      </c>
      <c r="AJ24" s="116">
        <v>36</v>
      </c>
      <c r="AK24" s="113">
        <v>16</v>
      </c>
      <c r="AL24" s="140">
        <f>F24+J24+N24+R24+V24+Z24+AD24+AG24</f>
        <v>11</v>
      </c>
    </row>
    <row r="25" spans="1:38" ht="46.2" thickBot="1" x14ac:dyDescent="0.35">
      <c r="A25" s="137">
        <v>7</v>
      </c>
      <c r="B25" s="113" t="s">
        <v>104</v>
      </c>
      <c r="C25" s="141" t="s">
        <v>72</v>
      </c>
      <c r="D25" s="116">
        <v>38</v>
      </c>
      <c r="E25" s="113">
        <v>22</v>
      </c>
      <c r="F25" s="159">
        <v>2</v>
      </c>
      <c r="G25" s="160"/>
      <c r="H25" s="114">
        <v>52</v>
      </c>
      <c r="I25" s="145">
        <v>16</v>
      </c>
      <c r="J25" s="159">
        <v>2</v>
      </c>
      <c r="K25" s="160"/>
      <c r="L25" s="116">
        <v>49</v>
      </c>
      <c r="M25" s="113">
        <v>22</v>
      </c>
      <c r="N25" s="138">
        <v>2</v>
      </c>
      <c r="O25" s="147"/>
      <c r="P25" s="116">
        <v>41</v>
      </c>
      <c r="Q25" s="113">
        <v>21</v>
      </c>
      <c r="R25" s="138">
        <v>2</v>
      </c>
      <c r="S25" s="147"/>
      <c r="T25" s="116">
        <v>50</v>
      </c>
      <c r="U25" s="113">
        <v>18</v>
      </c>
      <c r="V25" s="138">
        <v>2</v>
      </c>
      <c r="W25" s="147"/>
      <c r="X25" s="116">
        <v>22</v>
      </c>
      <c r="Y25" s="113">
        <v>13</v>
      </c>
      <c r="Z25" s="138">
        <v>1</v>
      </c>
      <c r="AA25" s="139"/>
      <c r="AB25" s="116">
        <v>22</v>
      </c>
      <c r="AC25" s="113">
        <v>10</v>
      </c>
      <c r="AD25" s="113">
        <v>2</v>
      </c>
      <c r="AE25" s="116"/>
      <c r="AF25" s="113"/>
      <c r="AG25" s="113"/>
      <c r="AH25" s="116">
        <f t="shared" si="2"/>
        <v>274</v>
      </c>
      <c r="AI25" s="116">
        <f t="shared" si="2"/>
        <v>122</v>
      </c>
      <c r="AJ25" s="116">
        <v>49</v>
      </c>
      <c r="AK25" s="113">
        <v>17</v>
      </c>
      <c r="AL25" s="140">
        <f>F25+J25+N25+R25+V25+Z25+AD25+AG25</f>
        <v>13</v>
      </c>
    </row>
    <row r="26" spans="1:38" ht="16.2" thickBot="1" x14ac:dyDescent="0.35">
      <c r="A26" s="144"/>
      <c r="B26" s="115" t="s">
        <v>104</v>
      </c>
      <c r="C26" s="142" t="s">
        <v>31</v>
      </c>
      <c r="D26" s="118">
        <f>SUM(D19:D25)</f>
        <v>211</v>
      </c>
      <c r="E26" s="118">
        <f>SUM(E19:E25)</f>
        <v>107</v>
      </c>
      <c r="F26" s="231">
        <f>SUM(F19:F25)</f>
        <v>11.5</v>
      </c>
      <c r="G26" s="232"/>
      <c r="H26" s="161">
        <f>SUM(H19:H25)</f>
        <v>254</v>
      </c>
      <c r="I26" s="161">
        <f>SUM(I19:I25)</f>
        <v>108</v>
      </c>
      <c r="J26" s="231">
        <f>SUM(J19:J25)</f>
        <v>11.5</v>
      </c>
      <c r="K26" s="232"/>
      <c r="L26" s="118">
        <f>SUM(L19:L25)</f>
        <v>342</v>
      </c>
      <c r="M26" s="118">
        <f>SUM(M19:M25)</f>
        <v>146</v>
      </c>
      <c r="N26" s="227">
        <f>SUM(N19:N25)</f>
        <v>15</v>
      </c>
      <c r="O26" s="228"/>
      <c r="P26" s="118">
        <f>SUM(P19:P25)</f>
        <v>353</v>
      </c>
      <c r="Q26" s="118">
        <f>SUM(Q19:Q25)</f>
        <v>162</v>
      </c>
      <c r="R26" s="227">
        <f>SUM(R19:R25)</f>
        <v>15</v>
      </c>
      <c r="S26" s="228"/>
      <c r="T26" s="118">
        <f>SUM(T19:T25)</f>
        <v>390</v>
      </c>
      <c r="U26" s="118">
        <f>SUM(U19:U25)</f>
        <v>174</v>
      </c>
      <c r="V26" s="227">
        <f>SUM(V19:V25)</f>
        <v>17</v>
      </c>
      <c r="W26" s="228"/>
      <c r="X26" s="118">
        <f>SUM(X19:X25)</f>
        <v>192</v>
      </c>
      <c r="Y26" s="118">
        <f>SUM(Y19:Y25)</f>
        <v>91</v>
      </c>
      <c r="Z26" s="227">
        <f>SUM(Z19:Z25)</f>
        <v>9</v>
      </c>
      <c r="AA26" s="228"/>
      <c r="AB26" s="118">
        <f t="shared" ref="AB26:AK26" si="3">SUM(AB19:AB25)</f>
        <v>154</v>
      </c>
      <c r="AC26" s="118">
        <f t="shared" si="3"/>
        <v>74</v>
      </c>
      <c r="AD26" s="118">
        <f t="shared" si="3"/>
        <v>8</v>
      </c>
      <c r="AE26" s="118">
        <f t="shared" si="3"/>
        <v>86</v>
      </c>
      <c r="AF26" s="118">
        <f t="shared" si="3"/>
        <v>39</v>
      </c>
      <c r="AG26" s="118">
        <f t="shared" si="3"/>
        <v>4</v>
      </c>
      <c r="AH26" s="118">
        <f t="shared" si="3"/>
        <v>1982</v>
      </c>
      <c r="AI26" s="118">
        <f t="shared" si="3"/>
        <v>901</v>
      </c>
      <c r="AJ26" s="118">
        <f t="shared" si="3"/>
        <v>431</v>
      </c>
      <c r="AK26" s="118">
        <f t="shared" si="3"/>
        <v>194</v>
      </c>
      <c r="AL26" s="143">
        <f>F26+J26+N26+R26+V26+Z26+AD26+AG26</f>
        <v>91</v>
      </c>
    </row>
    <row r="27" spans="1:38" ht="15.6" x14ac:dyDescent="0.25">
      <c r="A27" s="152" t="s">
        <v>137</v>
      </c>
      <c r="B27" s="107"/>
      <c r="C27" s="107"/>
      <c r="AJ27" s="127"/>
      <c r="AL27" s="107"/>
    </row>
    <row r="28" spans="1:38" ht="15.6" x14ac:dyDescent="0.25">
      <c r="A28" s="153" t="s">
        <v>138</v>
      </c>
      <c r="B28" s="107"/>
      <c r="C28" s="107"/>
      <c r="AJ28" s="127"/>
      <c r="AL28" s="107"/>
    </row>
    <row r="29" spans="1:38" ht="15.6" x14ac:dyDescent="0.25">
      <c r="A29" s="162" t="s">
        <v>139</v>
      </c>
      <c r="B29" s="151"/>
    </row>
    <row r="30" spans="1:38" ht="15.6" x14ac:dyDescent="0.25">
      <c r="A30" s="162" t="s">
        <v>134</v>
      </c>
    </row>
    <row r="31" spans="1:38" ht="15" x14ac:dyDescent="0.25"/>
    <row r="32" spans="1:38" ht="15" x14ac:dyDescent="0.25">
      <c r="A32" s="107" t="s">
        <v>140</v>
      </c>
    </row>
    <row r="33" spans="1:38" ht="30.6" x14ac:dyDescent="0.3">
      <c r="A33" s="132">
        <v>1</v>
      </c>
      <c r="B33" s="112" t="s">
        <v>141</v>
      </c>
      <c r="C33" s="146" t="s">
        <v>135</v>
      </c>
      <c r="D33" s="111">
        <v>0</v>
      </c>
      <c r="E33" s="112">
        <v>0</v>
      </c>
      <c r="F33" s="134">
        <v>0</v>
      </c>
      <c r="G33" s="157"/>
      <c r="H33" s="111">
        <f>18+19</f>
        <v>37</v>
      </c>
      <c r="I33" s="112">
        <f>7+8</f>
        <v>15</v>
      </c>
      <c r="J33" s="134">
        <v>2</v>
      </c>
      <c r="K33" s="149" t="s">
        <v>19</v>
      </c>
      <c r="L33" s="111">
        <f>23+28</f>
        <v>51</v>
      </c>
      <c r="M33" s="112">
        <f>6+9</f>
        <v>15</v>
      </c>
      <c r="N33" s="134">
        <v>2</v>
      </c>
      <c r="O33" s="149" t="s">
        <v>19</v>
      </c>
      <c r="P33" s="111">
        <f>27+26</f>
        <v>53</v>
      </c>
      <c r="Q33" s="112">
        <f>14+12</f>
        <v>26</v>
      </c>
      <c r="R33" s="134">
        <v>2</v>
      </c>
      <c r="S33" s="149" t="s">
        <v>19</v>
      </c>
      <c r="T33" s="111">
        <f>28+28</f>
        <v>56</v>
      </c>
      <c r="U33" s="112">
        <f>7+15</f>
        <v>22</v>
      </c>
      <c r="V33" s="134">
        <v>2</v>
      </c>
      <c r="W33" s="149" t="s">
        <v>19</v>
      </c>
      <c r="X33" s="111">
        <v>29</v>
      </c>
      <c r="Y33" s="112">
        <v>14</v>
      </c>
      <c r="Z33" s="134">
        <v>1</v>
      </c>
      <c r="AA33" s="135"/>
      <c r="AB33" s="111">
        <v>20</v>
      </c>
      <c r="AC33" s="112">
        <v>8</v>
      </c>
      <c r="AD33" s="112">
        <v>1</v>
      </c>
      <c r="AE33" s="111"/>
      <c r="AF33" s="112"/>
      <c r="AG33" s="112"/>
      <c r="AH33" s="111">
        <f t="shared" ref="AH33:AI39" si="4">D33+H33+L33+P33+T33+X33+AB33+AE33</f>
        <v>246</v>
      </c>
      <c r="AI33" s="111">
        <f t="shared" si="4"/>
        <v>100</v>
      </c>
      <c r="AJ33" s="111">
        <v>17</v>
      </c>
      <c r="AK33" s="112">
        <v>9</v>
      </c>
      <c r="AL33" s="136">
        <f>F33+J33+N33+R33+V33+Z33+AD33+AG33</f>
        <v>10</v>
      </c>
    </row>
    <row r="34" spans="1:38" ht="30.6" x14ac:dyDescent="0.3">
      <c r="A34" s="132">
        <v>2</v>
      </c>
      <c r="B34" s="113" t="s">
        <v>141</v>
      </c>
      <c r="C34" s="133" t="s">
        <v>133</v>
      </c>
      <c r="D34" s="111">
        <v>0</v>
      </c>
      <c r="E34" s="112">
        <v>0</v>
      </c>
      <c r="F34" s="134">
        <v>0</v>
      </c>
      <c r="G34" s="149"/>
      <c r="H34" s="111">
        <v>0</v>
      </c>
      <c r="I34" s="112">
        <v>0</v>
      </c>
      <c r="J34" s="134">
        <v>0</v>
      </c>
      <c r="K34" s="149"/>
      <c r="L34" s="111">
        <v>23</v>
      </c>
      <c r="M34" s="112">
        <v>11</v>
      </c>
      <c r="N34" s="134">
        <v>1</v>
      </c>
      <c r="O34" s="149"/>
      <c r="P34" s="111">
        <f>40+19</f>
        <v>59</v>
      </c>
      <c r="Q34" s="112">
        <f>15+5</f>
        <v>20</v>
      </c>
      <c r="R34" s="134">
        <v>3</v>
      </c>
      <c r="S34" s="149"/>
      <c r="T34" s="111">
        <f>22+25</f>
        <v>47</v>
      </c>
      <c r="U34" s="112">
        <f>7+7</f>
        <v>14</v>
      </c>
      <c r="V34" s="134">
        <v>2</v>
      </c>
      <c r="W34" s="149"/>
      <c r="X34" s="111">
        <v>21</v>
      </c>
      <c r="Y34" s="112">
        <v>11</v>
      </c>
      <c r="Z34" s="134">
        <v>1</v>
      </c>
      <c r="AA34" s="135"/>
      <c r="AB34" s="111">
        <v>24</v>
      </c>
      <c r="AC34" s="112">
        <v>16</v>
      </c>
      <c r="AD34" s="112">
        <v>1</v>
      </c>
      <c r="AE34" s="111"/>
      <c r="AF34" s="112"/>
      <c r="AG34" s="112"/>
      <c r="AH34" s="116">
        <f t="shared" si="4"/>
        <v>174</v>
      </c>
      <c r="AI34" s="116">
        <f t="shared" si="4"/>
        <v>72</v>
      </c>
      <c r="AJ34" s="116">
        <v>30</v>
      </c>
      <c r="AK34" s="113">
        <v>14</v>
      </c>
      <c r="AL34" s="140">
        <f>F34+J34+N34+R34+V34+Z34+AD34+AG34</f>
        <v>8</v>
      </c>
    </row>
    <row r="35" spans="1:38" ht="45.6" x14ac:dyDescent="0.3">
      <c r="A35" s="137">
        <v>3</v>
      </c>
      <c r="B35" s="113" t="s">
        <v>141</v>
      </c>
      <c r="C35" s="141" t="s">
        <v>136</v>
      </c>
      <c r="D35" s="116">
        <f>6+6+7+1</f>
        <v>20</v>
      </c>
      <c r="E35" s="113">
        <f>3+3+3+0</f>
        <v>9</v>
      </c>
      <c r="F35" s="158">
        <v>1.5</v>
      </c>
      <c r="G35" s="147" t="s">
        <v>16</v>
      </c>
      <c r="H35" s="116">
        <f>8+10+1</f>
        <v>19</v>
      </c>
      <c r="I35" s="113">
        <f>3+6+0</f>
        <v>9</v>
      </c>
      <c r="J35" s="158">
        <v>1.5</v>
      </c>
      <c r="K35" s="147" t="s">
        <v>16</v>
      </c>
      <c r="L35" s="116">
        <f>21+1+20+1+23+19</f>
        <v>85</v>
      </c>
      <c r="M35" s="113">
        <f>9+1+7+0+2+10</f>
        <v>29</v>
      </c>
      <c r="N35" s="138">
        <v>4</v>
      </c>
      <c r="O35" s="147" t="s">
        <v>16</v>
      </c>
      <c r="P35" s="116">
        <v>50</v>
      </c>
      <c r="Q35" s="113">
        <v>17</v>
      </c>
      <c r="R35" s="138">
        <v>2</v>
      </c>
      <c r="S35" s="147"/>
      <c r="T35" s="116">
        <f>24+21</f>
        <v>45</v>
      </c>
      <c r="U35" s="113">
        <f>12+14</f>
        <v>26</v>
      </c>
      <c r="V35" s="138">
        <v>2</v>
      </c>
      <c r="W35" s="147"/>
      <c r="X35" s="116">
        <v>25</v>
      </c>
      <c r="Y35" s="113">
        <v>13</v>
      </c>
      <c r="Z35" s="138">
        <v>1</v>
      </c>
      <c r="AA35" s="139"/>
      <c r="AB35" s="116">
        <v>38</v>
      </c>
      <c r="AC35" s="113">
        <v>14</v>
      </c>
      <c r="AD35" s="113">
        <v>2</v>
      </c>
      <c r="AE35" s="116">
        <f>26+26+17+19+18</f>
        <v>106</v>
      </c>
      <c r="AF35" s="113">
        <f>23+13+8+11+8</f>
        <v>63</v>
      </c>
      <c r="AG35" s="113">
        <v>5</v>
      </c>
      <c r="AH35" s="116">
        <f t="shared" si="4"/>
        <v>388</v>
      </c>
      <c r="AI35" s="116">
        <f t="shared" si="4"/>
        <v>180</v>
      </c>
      <c r="AJ35" s="116">
        <v>218</v>
      </c>
      <c r="AK35" s="113">
        <v>113</v>
      </c>
      <c r="AL35" s="140">
        <f>F35+J35+N35+R35+V35+Z35+AD35+AG35</f>
        <v>19</v>
      </c>
    </row>
    <row r="36" spans="1:38" ht="45.6" x14ac:dyDescent="0.3">
      <c r="A36" s="137">
        <v>4</v>
      </c>
      <c r="B36" s="113" t="s">
        <v>141</v>
      </c>
      <c r="C36" s="141" t="s">
        <v>68</v>
      </c>
      <c r="D36" s="116">
        <v>27</v>
      </c>
      <c r="E36" s="113">
        <v>15</v>
      </c>
      <c r="F36" s="138">
        <v>1</v>
      </c>
      <c r="G36" s="147" t="s">
        <v>17</v>
      </c>
      <c r="H36" s="116">
        <f>10+4+2+8+5+3</f>
        <v>32</v>
      </c>
      <c r="I36" s="113">
        <f>5+3+2+3+2+3</f>
        <v>18</v>
      </c>
      <c r="J36" s="138">
        <v>2</v>
      </c>
      <c r="K36" s="147" t="s">
        <v>17</v>
      </c>
      <c r="L36" s="116">
        <f>17+2+1+7+1+6+3</f>
        <v>37</v>
      </c>
      <c r="M36" s="113">
        <f>10+2+0+6+0+4+0</f>
        <v>22</v>
      </c>
      <c r="N36" s="138">
        <v>2</v>
      </c>
      <c r="O36" s="147" t="s">
        <v>17</v>
      </c>
      <c r="P36" s="116">
        <f>15+3+4+13+6</f>
        <v>41</v>
      </c>
      <c r="Q36" s="113">
        <f>6+2+4+7+3</f>
        <v>22</v>
      </c>
      <c r="R36" s="138">
        <v>2</v>
      </c>
      <c r="S36" s="147" t="s">
        <v>17</v>
      </c>
      <c r="T36" s="116">
        <f>26+27</f>
        <v>53</v>
      </c>
      <c r="U36" s="113">
        <f>18+14</f>
        <v>32</v>
      </c>
      <c r="V36" s="138">
        <v>2</v>
      </c>
      <c r="W36" s="147"/>
      <c r="X36" s="116">
        <v>20</v>
      </c>
      <c r="Y36" s="113">
        <v>14</v>
      </c>
      <c r="Z36" s="138">
        <v>1</v>
      </c>
      <c r="AA36" s="139"/>
      <c r="AB36" s="116">
        <v>17</v>
      </c>
      <c r="AC36" s="113">
        <v>3</v>
      </c>
      <c r="AD36" s="113">
        <v>1</v>
      </c>
      <c r="AE36" s="116"/>
      <c r="AF36" s="113"/>
      <c r="AG36" s="113"/>
      <c r="AH36" s="116">
        <f t="shared" si="4"/>
        <v>227</v>
      </c>
      <c r="AI36" s="116">
        <f t="shared" si="4"/>
        <v>126</v>
      </c>
      <c r="AJ36" s="116">
        <v>46</v>
      </c>
      <c r="AK36" s="113">
        <v>26</v>
      </c>
      <c r="AL36" s="140">
        <f>F36+J36+N36+R36+V36+Z36+AD36+AG36</f>
        <v>11</v>
      </c>
    </row>
    <row r="37" spans="1:38" ht="18" x14ac:dyDescent="0.3">
      <c r="A37" s="137">
        <v>5</v>
      </c>
      <c r="B37" s="113" t="s">
        <v>141</v>
      </c>
      <c r="C37" s="141" t="s">
        <v>11</v>
      </c>
      <c r="D37" s="116">
        <v>44</v>
      </c>
      <c r="E37" s="113">
        <v>23</v>
      </c>
      <c r="F37" s="138">
        <v>2</v>
      </c>
      <c r="G37" s="147"/>
      <c r="H37" s="116">
        <v>46</v>
      </c>
      <c r="I37" s="113">
        <v>28</v>
      </c>
      <c r="J37" s="138">
        <v>2</v>
      </c>
      <c r="K37" s="147"/>
      <c r="L37" s="116">
        <v>51</v>
      </c>
      <c r="M37" s="113">
        <v>31</v>
      </c>
      <c r="N37" s="138">
        <v>2</v>
      </c>
      <c r="O37" s="147"/>
      <c r="P37" s="116">
        <v>50</v>
      </c>
      <c r="Q37" s="113">
        <v>28</v>
      </c>
      <c r="R37" s="138">
        <v>2</v>
      </c>
      <c r="S37" s="147"/>
      <c r="T37" s="116">
        <v>78</v>
      </c>
      <c r="U37" s="113">
        <v>28</v>
      </c>
      <c r="V37" s="138">
        <v>4</v>
      </c>
      <c r="W37" s="147" t="s">
        <v>15</v>
      </c>
      <c r="X37" s="116">
        <v>17</v>
      </c>
      <c r="Y37" s="113">
        <v>5</v>
      </c>
      <c r="Z37" s="138">
        <v>1</v>
      </c>
      <c r="AA37" s="139"/>
      <c r="AB37" s="116">
        <v>38</v>
      </c>
      <c r="AC37" s="113">
        <v>15</v>
      </c>
      <c r="AD37" s="113">
        <v>2</v>
      </c>
      <c r="AE37" s="116"/>
      <c r="AF37" s="113"/>
      <c r="AG37" s="113"/>
      <c r="AH37" s="116">
        <f t="shared" si="4"/>
        <v>324</v>
      </c>
      <c r="AI37" s="116">
        <f t="shared" si="4"/>
        <v>158</v>
      </c>
      <c r="AJ37" s="116">
        <v>44</v>
      </c>
      <c r="AK37" s="113">
        <v>18</v>
      </c>
      <c r="AL37" s="140">
        <f>F37+J37+N37+R37+V37+Z37+AD37+AG37</f>
        <v>15</v>
      </c>
    </row>
    <row r="38" spans="1:38" ht="30.6" x14ac:dyDescent="0.3">
      <c r="A38" s="137">
        <v>6</v>
      </c>
      <c r="B38" s="148" t="s">
        <v>141</v>
      </c>
      <c r="C38" s="141" t="s">
        <v>95</v>
      </c>
      <c r="D38" s="116">
        <f>26</f>
        <v>26</v>
      </c>
      <c r="E38" s="113">
        <v>11</v>
      </c>
      <c r="F38" s="138">
        <v>1</v>
      </c>
      <c r="G38" s="147"/>
      <c r="H38" s="116">
        <f>16+18</f>
        <v>34</v>
      </c>
      <c r="I38" s="113">
        <v>11</v>
      </c>
      <c r="J38" s="138">
        <v>2</v>
      </c>
      <c r="K38" s="147"/>
      <c r="L38" s="116">
        <v>43</v>
      </c>
      <c r="M38" s="113">
        <v>17</v>
      </c>
      <c r="N38" s="138">
        <v>2</v>
      </c>
      <c r="O38" s="147"/>
      <c r="P38" s="116">
        <v>38</v>
      </c>
      <c r="Q38" s="113">
        <v>15</v>
      </c>
      <c r="R38" s="138">
        <v>2</v>
      </c>
      <c r="S38" s="147"/>
      <c r="T38" s="116">
        <v>58</v>
      </c>
      <c r="U38" s="113">
        <v>32</v>
      </c>
      <c r="V38" s="138">
        <v>2</v>
      </c>
      <c r="W38" s="147"/>
      <c r="X38" s="116">
        <v>25</v>
      </c>
      <c r="Y38" s="113">
        <v>12</v>
      </c>
      <c r="Z38" s="138">
        <v>1</v>
      </c>
      <c r="AA38" s="139"/>
      <c r="AB38" s="116">
        <v>24</v>
      </c>
      <c r="AC38" s="113">
        <v>15</v>
      </c>
      <c r="AD38" s="113">
        <v>1</v>
      </c>
      <c r="AE38" s="116"/>
      <c r="AF38" s="113"/>
      <c r="AG38" s="113"/>
      <c r="AH38" s="116">
        <f t="shared" si="4"/>
        <v>248</v>
      </c>
      <c r="AI38" s="116">
        <f t="shared" si="4"/>
        <v>113</v>
      </c>
      <c r="AJ38" s="116">
        <v>30</v>
      </c>
      <c r="AK38" s="113">
        <v>13</v>
      </c>
      <c r="AL38" s="140">
        <f>F38+J38+N38+R38+V38+Z38+AD38+AG38</f>
        <v>11</v>
      </c>
    </row>
    <row r="39" spans="1:38" ht="46.2" thickBot="1" x14ac:dyDescent="0.35">
      <c r="A39" s="137">
        <v>7</v>
      </c>
      <c r="B39" s="113" t="s">
        <v>141</v>
      </c>
      <c r="C39" s="141" t="s">
        <v>72</v>
      </c>
      <c r="D39" s="116">
        <f>21+4+1</f>
        <v>26</v>
      </c>
      <c r="E39" s="113">
        <f>8+4+0</f>
        <v>12</v>
      </c>
      <c r="F39" s="159">
        <v>1</v>
      </c>
      <c r="G39" s="160" t="s">
        <v>18</v>
      </c>
      <c r="H39" s="114">
        <f>17+2+19+1+2</f>
        <v>41</v>
      </c>
      <c r="I39" s="145">
        <f>10+1+9+1+2</f>
        <v>23</v>
      </c>
      <c r="J39" s="159">
        <v>2</v>
      </c>
      <c r="K39" s="160" t="s">
        <v>18</v>
      </c>
      <c r="L39" s="116">
        <f>23+2+19+1+3</f>
        <v>48</v>
      </c>
      <c r="M39" s="113">
        <f>5+1+6+0+1</f>
        <v>13</v>
      </c>
      <c r="N39" s="138">
        <v>2</v>
      </c>
      <c r="O39" s="147" t="s">
        <v>18</v>
      </c>
      <c r="P39" s="116">
        <f>17+1+6+23+2+1</f>
        <v>50</v>
      </c>
      <c r="Q39" s="113">
        <f>9+0+2+9+0+0</f>
        <v>20</v>
      </c>
      <c r="R39" s="138">
        <v>2</v>
      </c>
      <c r="S39" s="147" t="s">
        <v>18</v>
      </c>
      <c r="T39" s="116">
        <v>46</v>
      </c>
      <c r="U39" s="113">
        <f>10+12</f>
        <v>22</v>
      </c>
      <c r="V39" s="138">
        <v>2</v>
      </c>
      <c r="W39" s="147"/>
      <c r="X39" s="116">
        <v>18</v>
      </c>
      <c r="Y39" s="113">
        <v>8</v>
      </c>
      <c r="Z39" s="138">
        <v>1</v>
      </c>
      <c r="AA39" s="139"/>
      <c r="AB39" s="116">
        <v>17</v>
      </c>
      <c r="AC39" s="113">
        <v>3</v>
      </c>
      <c r="AD39" s="113">
        <v>1</v>
      </c>
      <c r="AE39" s="116"/>
      <c r="AF39" s="113"/>
      <c r="AG39" s="113"/>
      <c r="AH39" s="116">
        <f t="shared" si="4"/>
        <v>246</v>
      </c>
      <c r="AI39" s="116">
        <f t="shared" si="4"/>
        <v>101</v>
      </c>
      <c r="AJ39" s="116">
        <v>34</v>
      </c>
      <c r="AK39" s="113">
        <v>8</v>
      </c>
      <c r="AL39" s="140">
        <f>F39+J39+N39+R39+V39+Z39+AD39+AG39</f>
        <v>11</v>
      </c>
    </row>
    <row r="40" spans="1:38" ht="16.2" thickBot="1" x14ac:dyDescent="0.35">
      <c r="A40" s="144"/>
      <c r="B40" s="115" t="s">
        <v>141</v>
      </c>
      <c r="C40" s="142" t="s">
        <v>31</v>
      </c>
      <c r="D40" s="118">
        <f>SUM(D33:D39)</f>
        <v>143</v>
      </c>
      <c r="E40" s="118">
        <f>SUM(E33:E39)</f>
        <v>70</v>
      </c>
      <c r="F40" s="231">
        <f>SUM(F33:F39)</f>
        <v>6.5</v>
      </c>
      <c r="G40" s="232"/>
      <c r="H40" s="161">
        <f>SUM(H33:H39)</f>
        <v>209</v>
      </c>
      <c r="I40" s="161">
        <f>SUM(I33:I39)</f>
        <v>104</v>
      </c>
      <c r="J40" s="231">
        <f>SUM(J33:J39)</f>
        <v>11.5</v>
      </c>
      <c r="K40" s="232"/>
      <c r="L40" s="118">
        <f>SUM(L33:L39)</f>
        <v>338</v>
      </c>
      <c r="M40" s="118">
        <f>SUM(M33:M39)</f>
        <v>138</v>
      </c>
      <c r="N40" s="227">
        <f>SUM(N33:N39)</f>
        <v>15</v>
      </c>
      <c r="O40" s="228"/>
      <c r="P40" s="118">
        <f>SUM(P33:P39)</f>
        <v>341</v>
      </c>
      <c r="Q40" s="118">
        <f>SUM(Q33:Q39)</f>
        <v>148</v>
      </c>
      <c r="R40" s="227">
        <f>SUM(R33:R39)</f>
        <v>15</v>
      </c>
      <c r="S40" s="228"/>
      <c r="T40" s="118">
        <f>SUM(T33:T39)</f>
        <v>383</v>
      </c>
      <c r="U40" s="118">
        <f>SUM(U33:U39)</f>
        <v>176</v>
      </c>
      <c r="V40" s="227">
        <f>SUM(V33:V39)</f>
        <v>16</v>
      </c>
      <c r="W40" s="228"/>
      <c r="X40" s="118">
        <f>SUM(X33:X39)</f>
        <v>155</v>
      </c>
      <c r="Y40" s="118">
        <f>SUM(Y33:Y39)</f>
        <v>77</v>
      </c>
      <c r="Z40" s="227">
        <f>SUM(Z33:Z39)</f>
        <v>7</v>
      </c>
      <c r="AA40" s="228"/>
      <c r="AB40" s="118">
        <f t="shared" ref="AB40:AK40" si="5">SUM(AB33:AB39)</f>
        <v>178</v>
      </c>
      <c r="AC40" s="118">
        <f t="shared" si="5"/>
        <v>74</v>
      </c>
      <c r="AD40" s="118">
        <f t="shared" si="5"/>
        <v>9</v>
      </c>
      <c r="AE40" s="118">
        <f t="shared" si="5"/>
        <v>106</v>
      </c>
      <c r="AF40" s="118">
        <f t="shared" si="5"/>
        <v>63</v>
      </c>
      <c r="AG40" s="118">
        <f t="shared" si="5"/>
        <v>5</v>
      </c>
      <c r="AH40" s="118">
        <f t="shared" si="5"/>
        <v>1853</v>
      </c>
      <c r="AI40" s="118">
        <f t="shared" si="5"/>
        <v>850</v>
      </c>
      <c r="AJ40" s="118">
        <f t="shared" si="5"/>
        <v>419</v>
      </c>
      <c r="AK40" s="118">
        <f t="shared" si="5"/>
        <v>201</v>
      </c>
      <c r="AL40" s="143">
        <f>F40+J40+N40+R40+V40+Z40+AD40+AG40</f>
        <v>85</v>
      </c>
    </row>
    <row r="41" spans="1:38" ht="15.6" x14ac:dyDescent="0.25">
      <c r="A41" s="152" t="s">
        <v>149</v>
      </c>
      <c r="B41" s="107"/>
      <c r="C41" s="107"/>
      <c r="AJ41" s="127"/>
      <c r="AL41" s="107"/>
    </row>
    <row r="42" spans="1:38" ht="15.6" x14ac:dyDescent="0.25">
      <c r="A42" s="153" t="s">
        <v>138</v>
      </c>
      <c r="B42" s="107"/>
      <c r="C42" s="107"/>
      <c r="AJ42" s="127"/>
      <c r="AL42" s="107"/>
    </row>
    <row r="43" spans="1:38" ht="15.6" x14ac:dyDescent="0.25">
      <c r="A43" s="162" t="s">
        <v>152</v>
      </c>
      <c r="B43" s="151"/>
    </row>
    <row r="44" spans="1:38" ht="15.6" x14ac:dyDescent="0.25">
      <c r="A44" s="162" t="s">
        <v>134</v>
      </c>
    </row>
    <row r="45" spans="1:38" ht="15.6" x14ac:dyDescent="0.25">
      <c r="A45" s="162" t="s">
        <v>151</v>
      </c>
    </row>
    <row r="46" spans="1:38" ht="15" x14ac:dyDescent="0.25">
      <c r="A46" s="107" t="s">
        <v>140</v>
      </c>
    </row>
    <row r="47" spans="1:38" ht="15" x14ac:dyDescent="0.25">
      <c r="A47" s="120" t="s">
        <v>150</v>
      </c>
      <c r="B47" s="163"/>
      <c r="C47" s="16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63"/>
    </row>
    <row r="48" spans="1:38" ht="31.2" x14ac:dyDescent="0.3">
      <c r="A48" s="132">
        <v>1</v>
      </c>
      <c r="B48" s="112" t="s">
        <v>153</v>
      </c>
      <c r="C48" s="146" t="s">
        <v>154</v>
      </c>
      <c r="D48" s="165"/>
      <c r="E48" s="165"/>
      <c r="F48" s="225"/>
      <c r="G48" s="226"/>
      <c r="H48" s="165"/>
      <c r="I48" s="165"/>
      <c r="J48" s="225"/>
      <c r="K48" s="226"/>
      <c r="L48" s="111">
        <f>17+3+1+1+24+1</f>
        <v>47</v>
      </c>
      <c r="M48" s="112">
        <f>7+0+0+1+10+1</f>
        <v>19</v>
      </c>
      <c r="N48" s="138">
        <v>2</v>
      </c>
      <c r="O48" s="147"/>
      <c r="P48" s="111">
        <f>23+3+1+2+23+1+1</f>
        <v>54</v>
      </c>
      <c r="Q48" s="112">
        <f>8+0+1+1+9+1+0</f>
        <v>20</v>
      </c>
      <c r="R48" s="134">
        <v>2</v>
      </c>
      <c r="S48" s="149"/>
      <c r="T48" s="111">
        <f>21+1+3+24</f>
        <v>49</v>
      </c>
      <c r="U48" s="112">
        <f>11+0+1+9</f>
        <v>21</v>
      </c>
      <c r="V48" s="134">
        <v>2</v>
      </c>
      <c r="W48" s="149"/>
      <c r="X48" s="111">
        <f>21+2</f>
        <v>23</v>
      </c>
      <c r="Y48" s="112">
        <f>9+0</f>
        <v>9</v>
      </c>
      <c r="Z48" s="134">
        <v>1</v>
      </c>
      <c r="AA48" s="135"/>
      <c r="AB48" s="111">
        <f>20+1</f>
        <v>21</v>
      </c>
      <c r="AC48" s="112">
        <f>6+0</f>
        <v>6</v>
      </c>
      <c r="AD48" s="112">
        <v>1</v>
      </c>
      <c r="AE48" s="111"/>
      <c r="AF48" s="112"/>
      <c r="AG48" s="112"/>
      <c r="AH48" s="111">
        <f t="shared" ref="AH48:AI54" si="6">D48+H48+L48+P48+T48+X48+AB48+AE48</f>
        <v>194</v>
      </c>
      <c r="AI48" s="111">
        <f t="shared" si="6"/>
        <v>75</v>
      </c>
      <c r="AJ48" s="111">
        <v>14</v>
      </c>
      <c r="AK48" s="112">
        <v>7</v>
      </c>
      <c r="AL48" s="136">
        <f>F48+J48+N48+R48+V48+Z48+AD48+AG48</f>
        <v>8</v>
      </c>
    </row>
    <row r="49" spans="1:38" ht="30.6" x14ac:dyDescent="0.3">
      <c r="A49" s="132">
        <v>2</v>
      </c>
      <c r="B49" s="113" t="s">
        <v>153</v>
      </c>
      <c r="C49" s="133" t="s">
        <v>133</v>
      </c>
      <c r="D49" s="165"/>
      <c r="E49" s="165"/>
      <c r="F49" s="225"/>
      <c r="G49" s="226"/>
      <c r="H49" s="165"/>
      <c r="I49" s="165"/>
      <c r="J49" s="225"/>
      <c r="K49" s="226"/>
      <c r="L49" s="165"/>
      <c r="M49" s="165"/>
      <c r="N49" s="225"/>
      <c r="O49" s="226"/>
      <c r="P49" s="116">
        <v>20</v>
      </c>
      <c r="Q49" s="112">
        <v>9</v>
      </c>
      <c r="R49" s="134">
        <v>1</v>
      </c>
      <c r="S49" s="149"/>
      <c r="T49" s="111">
        <v>59</v>
      </c>
      <c r="U49" s="112">
        <v>20</v>
      </c>
      <c r="V49" s="134">
        <v>3</v>
      </c>
      <c r="W49" s="149"/>
      <c r="X49" s="111">
        <v>19</v>
      </c>
      <c r="Y49" s="112">
        <v>5</v>
      </c>
      <c r="Z49" s="134">
        <v>1</v>
      </c>
      <c r="AA49" s="135"/>
      <c r="AB49" s="111">
        <v>18</v>
      </c>
      <c r="AC49" s="112">
        <v>7</v>
      </c>
      <c r="AD49" s="112">
        <v>1</v>
      </c>
      <c r="AE49" s="111"/>
      <c r="AF49" s="112"/>
      <c r="AG49" s="112"/>
      <c r="AH49" s="116">
        <f t="shared" si="6"/>
        <v>116</v>
      </c>
      <c r="AI49" s="116">
        <f t="shared" si="6"/>
        <v>41</v>
      </c>
      <c r="AJ49" s="116">
        <v>25</v>
      </c>
      <c r="AK49" s="113">
        <v>11</v>
      </c>
      <c r="AL49" s="140">
        <f>F49+J49+N49+R49+V49+Z49+AD49+AG49</f>
        <v>6</v>
      </c>
    </row>
    <row r="50" spans="1:38" ht="46.2" x14ac:dyDescent="0.3">
      <c r="A50" s="137">
        <v>3</v>
      </c>
      <c r="B50" s="113" t="s">
        <v>153</v>
      </c>
      <c r="C50" s="141" t="s">
        <v>156</v>
      </c>
      <c r="D50" s="116">
        <f>8+6+6+3</f>
        <v>23</v>
      </c>
      <c r="E50" s="113">
        <f>6+2+2+1</f>
        <v>11</v>
      </c>
      <c r="F50" s="166">
        <v>1</v>
      </c>
      <c r="G50" s="147"/>
      <c r="H50" s="116">
        <f>9+2+13</f>
        <v>24</v>
      </c>
      <c r="I50" s="113">
        <f>4+0+6</f>
        <v>10</v>
      </c>
      <c r="J50" s="166">
        <v>1</v>
      </c>
      <c r="K50" s="147"/>
      <c r="L50" s="116">
        <f>23+1+1+23+1+9</f>
        <v>58</v>
      </c>
      <c r="M50" s="138">
        <f>13+1+0+11+0+7</f>
        <v>32</v>
      </c>
      <c r="N50" s="167">
        <v>3</v>
      </c>
      <c r="O50" s="147"/>
      <c r="P50" s="116">
        <f>20+18+1+16+18</f>
        <v>73</v>
      </c>
      <c r="Q50" s="113">
        <f>7+7+0+8+11</f>
        <v>33</v>
      </c>
      <c r="R50" s="138">
        <v>4</v>
      </c>
      <c r="S50" s="147"/>
      <c r="T50" s="116">
        <f>26+24+26</f>
        <v>76</v>
      </c>
      <c r="U50" s="113">
        <f>8+12+13</f>
        <v>33</v>
      </c>
      <c r="V50" s="138">
        <v>3</v>
      </c>
      <c r="W50" s="147"/>
      <c r="X50" s="116">
        <f>15+15</f>
        <v>30</v>
      </c>
      <c r="Y50" s="113">
        <f>9+4</f>
        <v>13</v>
      </c>
      <c r="Z50" s="138">
        <v>2</v>
      </c>
      <c r="AA50" s="139"/>
      <c r="AB50" s="116">
        <f>32</f>
        <v>32</v>
      </c>
      <c r="AC50" s="113">
        <v>22</v>
      </c>
      <c r="AD50" s="113">
        <v>1</v>
      </c>
      <c r="AE50" s="116">
        <f>29+15+12+13</f>
        <v>69</v>
      </c>
      <c r="AF50" s="113">
        <f>13+6+4+8</f>
        <v>31</v>
      </c>
      <c r="AG50" s="113">
        <v>4</v>
      </c>
      <c r="AH50" s="116">
        <f t="shared" si="6"/>
        <v>385</v>
      </c>
      <c r="AI50" s="116">
        <f t="shared" si="6"/>
        <v>185</v>
      </c>
      <c r="AJ50" s="116">
        <v>225</v>
      </c>
      <c r="AK50" s="113">
        <v>111</v>
      </c>
      <c r="AL50" s="168">
        <f>F50+J50+N50+R50+V50+Z50+AD50+AG50</f>
        <v>19</v>
      </c>
    </row>
    <row r="51" spans="1:38" ht="46.2" x14ac:dyDescent="0.3">
      <c r="A51" s="137">
        <v>4</v>
      </c>
      <c r="B51" s="113" t="s">
        <v>153</v>
      </c>
      <c r="C51" s="141" t="s">
        <v>158</v>
      </c>
      <c r="D51" s="116">
        <f>23+3+3+1</f>
        <v>30</v>
      </c>
      <c r="E51" s="113">
        <f>11+0+1</f>
        <v>12</v>
      </c>
      <c r="F51" s="138">
        <v>1</v>
      </c>
      <c r="G51" s="147"/>
      <c r="H51" s="116">
        <f>15+5+5</f>
        <v>25</v>
      </c>
      <c r="I51" s="113">
        <f>9+4+1</f>
        <v>14</v>
      </c>
      <c r="J51" s="138">
        <v>1</v>
      </c>
      <c r="K51" s="147"/>
      <c r="L51" s="116">
        <f>13+1+1+2+8+2+2+5+1</f>
        <v>35</v>
      </c>
      <c r="M51" s="113">
        <f>7+1+1+2+3+2+2+1+1</f>
        <v>20</v>
      </c>
      <c r="N51" s="134">
        <v>2</v>
      </c>
      <c r="O51" s="149"/>
      <c r="P51" s="116">
        <f>19+1+8+2+1+7+1</f>
        <v>39</v>
      </c>
      <c r="Q51" s="113">
        <f>11+6+0+0+5+0</f>
        <v>22</v>
      </c>
      <c r="R51" s="138">
        <v>2</v>
      </c>
      <c r="S51" s="147"/>
      <c r="T51" s="116">
        <f>17+4+15+6</f>
        <v>42</v>
      </c>
      <c r="U51" s="113">
        <f>7+4+8+3</f>
        <v>22</v>
      </c>
      <c r="V51" s="138">
        <v>2</v>
      </c>
      <c r="W51" s="147"/>
      <c r="X51" s="116">
        <v>23</v>
      </c>
      <c r="Y51" s="113">
        <v>19</v>
      </c>
      <c r="Z51" s="138">
        <v>1</v>
      </c>
      <c r="AA51" s="139"/>
      <c r="AB51" s="116">
        <v>21</v>
      </c>
      <c r="AC51" s="113">
        <v>6</v>
      </c>
      <c r="AD51" s="113">
        <v>1</v>
      </c>
      <c r="AE51" s="116"/>
      <c r="AF51" s="113"/>
      <c r="AG51" s="113"/>
      <c r="AH51" s="116">
        <f t="shared" si="6"/>
        <v>215</v>
      </c>
      <c r="AI51" s="116">
        <f t="shared" si="6"/>
        <v>115</v>
      </c>
      <c r="AJ51" s="116">
        <v>50</v>
      </c>
      <c r="AK51" s="113">
        <v>25</v>
      </c>
      <c r="AL51" s="140">
        <f>F51+J51+N51+R51+V51+Z51+AD51+AG51</f>
        <v>10</v>
      </c>
    </row>
    <row r="52" spans="1:38" ht="18" x14ac:dyDescent="0.3">
      <c r="A52" s="137">
        <v>5</v>
      </c>
      <c r="B52" s="113" t="s">
        <v>153</v>
      </c>
      <c r="C52" s="141" t="s">
        <v>160</v>
      </c>
      <c r="D52" s="116">
        <f>19+17+2</f>
        <v>38</v>
      </c>
      <c r="E52" s="113">
        <f>9+9+0</f>
        <v>18</v>
      </c>
      <c r="F52" s="138">
        <v>2</v>
      </c>
      <c r="G52" s="147"/>
      <c r="H52" s="116">
        <f>21+20+1+1</f>
        <v>43</v>
      </c>
      <c r="I52" s="113">
        <f>11+11+0+1</f>
        <v>23</v>
      </c>
      <c r="J52" s="138">
        <v>2</v>
      </c>
      <c r="K52" s="147"/>
      <c r="L52" s="116">
        <f>25+25</f>
        <v>50</v>
      </c>
      <c r="M52" s="113">
        <f>15+16</f>
        <v>31</v>
      </c>
      <c r="N52" s="138">
        <v>2</v>
      </c>
      <c r="O52" s="147"/>
      <c r="P52" s="116">
        <f>25+27</f>
        <v>52</v>
      </c>
      <c r="Q52" s="113">
        <f>12+20</f>
        <v>32</v>
      </c>
      <c r="R52" s="138">
        <v>2</v>
      </c>
      <c r="S52" s="147"/>
      <c r="T52" s="116">
        <f>27+27+13</f>
        <v>67</v>
      </c>
      <c r="U52" s="113">
        <f>12+18+6</f>
        <v>36</v>
      </c>
      <c r="V52" s="138">
        <v>3</v>
      </c>
      <c r="W52" s="147" t="s">
        <v>15</v>
      </c>
      <c r="X52" s="116">
        <f>24+24</f>
        <v>48</v>
      </c>
      <c r="Y52" s="113">
        <f>7+7</f>
        <v>14</v>
      </c>
      <c r="Z52" s="138">
        <v>2</v>
      </c>
      <c r="AA52" s="139"/>
      <c r="AB52" s="116">
        <v>11</v>
      </c>
      <c r="AC52" s="113">
        <v>4</v>
      </c>
      <c r="AD52" s="113">
        <v>1</v>
      </c>
      <c r="AE52" s="116"/>
      <c r="AF52" s="113"/>
      <c r="AG52" s="113"/>
      <c r="AH52" s="116">
        <f t="shared" si="6"/>
        <v>309</v>
      </c>
      <c r="AI52" s="116">
        <f t="shared" si="6"/>
        <v>158</v>
      </c>
      <c r="AJ52" s="116">
        <v>46</v>
      </c>
      <c r="AK52" s="113">
        <v>19</v>
      </c>
      <c r="AL52" s="140">
        <f>F52+J52+N52+R52+V52+Z52+AD52+AG52</f>
        <v>14</v>
      </c>
    </row>
    <row r="53" spans="1:38" ht="30.6" x14ac:dyDescent="0.3">
      <c r="A53" s="137">
        <v>6</v>
      </c>
      <c r="B53" s="113" t="s">
        <v>153</v>
      </c>
      <c r="C53" s="141" t="s">
        <v>95</v>
      </c>
      <c r="D53" s="116">
        <f>22</f>
        <v>22</v>
      </c>
      <c r="E53" s="113">
        <v>7</v>
      </c>
      <c r="F53" s="138">
        <v>1</v>
      </c>
      <c r="G53" s="147"/>
      <c r="H53" s="116">
        <f>17+17</f>
        <v>34</v>
      </c>
      <c r="I53" s="113">
        <f>10+8</f>
        <v>18</v>
      </c>
      <c r="J53" s="138">
        <v>2</v>
      </c>
      <c r="K53" s="147"/>
      <c r="L53" s="116">
        <f>24+23</f>
        <v>47</v>
      </c>
      <c r="M53" s="113">
        <f>8+7</f>
        <v>15</v>
      </c>
      <c r="N53" s="138">
        <v>2</v>
      </c>
      <c r="O53" s="147"/>
      <c r="P53" s="116">
        <f>24+22</f>
        <v>46</v>
      </c>
      <c r="Q53" s="113">
        <f>13+10</f>
        <v>23</v>
      </c>
      <c r="R53" s="138">
        <v>2</v>
      </c>
      <c r="S53" s="147"/>
      <c r="T53" s="116">
        <f>24+20</f>
        <v>44</v>
      </c>
      <c r="U53" s="113">
        <f>9+7</f>
        <v>16</v>
      </c>
      <c r="V53" s="138">
        <v>2</v>
      </c>
      <c r="W53" s="147"/>
      <c r="X53" s="116">
        <f>30</f>
        <v>30</v>
      </c>
      <c r="Y53" s="113">
        <v>13</v>
      </c>
      <c r="Z53" s="138">
        <v>1</v>
      </c>
      <c r="AA53" s="139"/>
      <c r="AB53" s="116">
        <v>30</v>
      </c>
      <c r="AC53" s="113">
        <v>18</v>
      </c>
      <c r="AD53" s="113">
        <v>1</v>
      </c>
      <c r="AE53" s="116"/>
      <c r="AF53" s="113"/>
      <c r="AG53" s="113"/>
      <c r="AH53" s="116">
        <f t="shared" si="6"/>
        <v>253</v>
      </c>
      <c r="AI53" s="116">
        <f t="shared" si="6"/>
        <v>110</v>
      </c>
      <c r="AJ53" s="116">
        <v>33</v>
      </c>
      <c r="AK53" s="113">
        <v>14</v>
      </c>
      <c r="AL53" s="140">
        <f>F53+J53+N53+R53+V53+Z53+AD53+AG53</f>
        <v>11</v>
      </c>
    </row>
    <row r="54" spans="1:38" ht="46.8" thickBot="1" x14ac:dyDescent="0.35">
      <c r="A54" s="137">
        <v>7</v>
      </c>
      <c r="B54" s="145" t="s">
        <v>153</v>
      </c>
      <c r="C54" s="141" t="s">
        <v>159</v>
      </c>
      <c r="D54" s="116">
        <f>22+1+1+2</f>
        <v>26</v>
      </c>
      <c r="E54" s="113">
        <f>12+0+0+0</f>
        <v>12</v>
      </c>
      <c r="F54" s="159">
        <v>1</v>
      </c>
      <c r="G54" s="160"/>
      <c r="H54" s="114">
        <f>23+2+4</f>
        <v>29</v>
      </c>
      <c r="I54" s="145">
        <f>7+1+4</f>
        <v>12</v>
      </c>
      <c r="J54" s="159">
        <v>1</v>
      </c>
      <c r="K54" s="160"/>
      <c r="L54" s="116">
        <f>20+2+20+2</f>
        <v>44</v>
      </c>
      <c r="M54" s="113">
        <f>10+1+9+2</f>
        <v>22</v>
      </c>
      <c r="N54" s="138">
        <v>2</v>
      </c>
      <c r="O54" s="147"/>
      <c r="P54" s="116">
        <f>11+9+20+16+4</f>
        <v>60</v>
      </c>
      <c r="Q54" s="113">
        <f>4+4+5+4+1</f>
        <v>18</v>
      </c>
      <c r="R54" s="138">
        <v>3</v>
      </c>
      <c r="S54" s="147"/>
      <c r="T54" s="116">
        <f>20+1+6+26+3</f>
        <v>56</v>
      </c>
      <c r="U54" s="113">
        <f>8+0+2+10+0</f>
        <v>20</v>
      </c>
      <c r="V54" s="138">
        <v>2</v>
      </c>
      <c r="W54" s="147"/>
      <c r="X54" s="116">
        <v>33</v>
      </c>
      <c r="Y54" s="113">
        <v>16</v>
      </c>
      <c r="Z54" s="138">
        <v>1</v>
      </c>
      <c r="AA54" s="139"/>
      <c r="AB54" s="116"/>
      <c r="AC54" s="113"/>
      <c r="AD54" s="113"/>
      <c r="AE54" s="116"/>
      <c r="AF54" s="113"/>
      <c r="AG54" s="113"/>
      <c r="AH54" s="116">
        <f t="shared" si="6"/>
        <v>248</v>
      </c>
      <c r="AI54" s="116">
        <f t="shared" si="6"/>
        <v>100</v>
      </c>
      <c r="AJ54" s="116">
        <v>28</v>
      </c>
      <c r="AK54" s="113">
        <v>8</v>
      </c>
      <c r="AL54" s="140">
        <f>F54+J54+N54+R54+V54+Z54+AD54+AG54</f>
        <v>10</v>
      </c>
    </row>
    <row r="55" spans="1:38" ht="16.2" thickBot="1" x14ac:dyDescent="0.35">
      <c r="A55" s="144"/>
      <c r="B55" s="115" t="s">
        <v>141</v>
      </c>
      <c r="C55" s="142" t="s">
        <v>31</v>
      </c>
      <c r="D55" s="118">
        <f>SUM(D48:D54)</f>
        <v>139</v>
      </c>
      <c r="E55" s="118">
        <f>SUM(E48:E54)</f>
        <v>60</v>
      </c>
      <c r="F55" s="234">
        <f>SUM(F48:F54)</f>
        <v>6</v>
      </c>
      <c r="G55" s="235"/>
      <c r="H55" s="161">
        <f>SUM(H48:H54)</f>
        <v>155</v>
      </c>
      <c r="I55" s="161">
        <f>SUM(I48:I54)</f>
        <v>77</v>
      </c>
      <c r="J55" s="234">
        <f>SUM(J48:J54)</f>
        <v>7</v>
      </c>
      <c r="K55" s="235"/>
      <c r="L55" s="118">
        <f>SUM(L48:L54)</f>
        <v>281</v>
      </c>
      <c r="M55" s="118">
        <f>SUM(M48:M54)</f>
        <v>139</v>
      </c>
      <c r="N55" s="227">
        <f>SUM(N48:N54)</f>
        <v>13</v>
      </c>
      <c r="O55" s="228"/>
      <c r="P55" s="118">
        <f>SUM(P48:P54)</f>
        <v>344</v>
      </c>
      <c r="Q55" s="118">
        <f>SUM(Q48:Q54)</f>
        <v>157</v>
      </c>
      <c r="R55" s="227">
        <f>SUM(R48:R54)</f>
        <v>16</v>
      </c>
      <c r="S55" s="228"/>
      <c r="T55" s="118">
        <f>SUM(T48:T54)</f>
        <v>393</v>
      </c>
      <c r="U55" s="118">
        <f>SUM(U48:U54)</f>
        <v>168</v>
      </c>
      <c r="V55" s="227">
        <f>SUM(V48:V54)</f>
        <v>17</v>
      </c>
      <c r="W55" s="228"/>
      <c r="X55" s="118">
        <f>SUM(X48:X54)</f>
        <v>206</v>
      </c>
      <c r="Y55" s="118">
        <f>SUM(Y48:Y54)</f>
        <v>89</v>
      </c>
      <c r="Z55" s="227">
        <f>SUM(Z48:Z54)</f>
        <v>9</v>
      </c>
      <c r="AA55" s="228"/>
      <c r="AB55" s="118">
        <f t="shared" ref="AB55:AK55" si="7">SUM(AB48:AB54)</f>
        <v>133</v>
      </c>
      <c r="AC55" s="118">
        <f t="shared" si="7"/>
        <v>63</v>
      </c>
      <c r="AD55" s="118">
        <f t="shared" si="7"/>
        <v>6</v>
      </c>
      <c r="AE55" s="118">
        <f t="shared" si="7"/>
        <v>69</v>
      </c>
      <c r="AF55" s="118">
        <f t="shared" si="7"/>
        <v>31</v>
      </c>
      <c r="AG55" s="118">
        <f t="shared" si="7"/>
        <v>4</v>
      </c>
      <c r="AH55" s="118">
        <f t="shared" si="7"/>
        <v>1720</v>
      </c>
      <c r="AI55" s="118">
        <f t="shared" si="7"/>
        <v>784</v>
      </c>
      <c r="AJ55" s="118">
        <f t="shared" si="7"/>
        <v>421</v>
      </c>
      <c r="AK55" s="118">
        <f t="shared" si="7"/>
        <v>195</v>
      </c>
      <c r="AL55" s="143">
        <f>F55+J55+N55+R55+V55+Z55+AD55+AG55</f>
        <v>78</v>
      </c>
    </row>
    <row r="56" spans="1:38" ht="15.6" x14ac:dyDescent="0.25">
      <c r="A56" s="152" t="s">
        <v>155</v>
      </c>
      <c r="B56" s="107"/>
    </row>
    <row r="57" spans="1:38" ht="15.6" x14ac:dyDescent="0.25">
      <c r="A57" s="153" t="s">
        <v>161</v>
      </c>
      <c r="B57" s="107"/>
    </row>
    <row r="58" spans="1:38" ht="15.6" x14ac:dyDescent="0.25">
      <c r="A58" s="162" t="s">
        <v>162</v>
      </c>
      <c r="B58" s="151"/>
    </row>
    <row r="59" spans="1:38" ht="15.6" x14ac:dyDescent="0.25">
      <c r="A59" s="162" t="s">
        <v>157</v>
      </c>
    </row>
    <row r="60" spans="1:38" ht="30.6" x14ac:dyDescent="0.25">
      <c r="A60" s="169">
        <v>1</v>
      </c>
      <c r="B60" s="101" t="s">
        <v>163</v>
      </c>
      <c r="C60" s="170" t="s">
        <v>167</v>
      </c>
      <c r="D60" s="21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9"/>
      <c r="P60" s="100">
        <v>46</v>
      </c>
      <c r="Q60" s="101">
        <v>19</v>
      </c>
      <c r="R60" s="123">
        <v>2</v>
      </c>
      <c r="S60" s="102"/>
      <c r="T60" s="100">
        <v>50</v>
      </c>
      <c r="U60" s="101">
        <v>17</v>
      </c>
      <c r="V60" s="123">
        <v>2</v>
      </c>
      <c r="W60" s="102"/>
      <c r="X60" s="100">
        <v>19</v>
      </c>
      <c r="Y60" s="101">
        <v>6</v>
      </c>
      <c r="Z60" s="123">
        <v>1</v>
      </c>
      <c r="AA60" s="124"/>
      <c r="AB60" s="100">
        <v>23</v>
      </c>
      <c r="AC60" s="101">
        <v>11</v>
      </c>
      <c r="AD60" s="101">
        <v>1</v>
      </c>
      <c r="AE60" s="103">
        <v>0</v>
      </c>
      <c r="AF60" s="103">
        <v>0</v>
      </c>
      <c r="AG60" s="103">
        <v>0</v>
      </c>
      <c r="AH60" s="100">
        <f t="shared" ref="AH60:AI66" si="8">D60+H60+L60+P60+T60+X60+AB60+AE60</f>
        <v>138</v>
      </c>
      <c r="AI60" s="101">
        <f t="shared" si="8"/>
        <v>53</v>
      </c>
      <c r="AJ60" s="100">
        <v>9</v>
      </c>
      <c r="AK60" s="101">
        <v>4</v>
      </c>
      <c r="AL60" s="171">
        <f>F60+J60+N60+R60+V60+Z60+AD60+AG60</f>
        <v>6</v>
      </c>
    </row>
    <row r="61" spans="1:38" ht="30.6" x14ac:dyDescent="0.25">
      <c r="A61" s="172">
        <v>2</v>
      </c>
      <c r="B61" s="101" t="s">
        <v>163</v>
      </c>
      <c r="C61" s="173" t="s">
        <v>168</v>
      </c>
      <c r="D61" s="217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9"/>
      <c r="T61" s="174">
        <v>17</v>
      </c>
      <c r="U61" s="175">
        <v>8</v>
      </c>
      <c r="V61" s="176">
        <v>1</v>
      </c>
      <c r="W61" s="177"/>
      <c r="X61" s="174">
        <v>22</v>
      </c>
      <c r="Y61" s="175">
        <v>7</v>
      </c>
      <c r="Z61" s="176">
        <v>1</v>
      </c>
      <c r="AA61" s="178"/>
      <c r="AB61" s="174">
        <v>24</v>
      </c>
      <c r="AC61" s="175">
        <v>9</v>
      </c>
      <c r="AD61" s="175">
        <v>1</v>
      </c>
      <c r="AE61" s="103">
        <v>0</v>
      </c>
      <c r="AF61" s="103">
        <v>0</v>
      </c>
      <c r="AG61" s="103">
        <v>0</v>
      </c>
      <c r="AH61" s="100">
        <f t="shared" si="8"/>
        <v>63</v>
      </c>
      <c r="AI61" s="101">
        <f t="shared" si="8"/>
        <v>24</v>
      </c>
      <c r="AJ61" s="100">
        <v>13</v>
      </c>
      <c r="AK61" s="101">
        <v>7</v>
      </c>
      <c r="AL61" s="171">
        <f>F61+J61+N61+R61+V61+Z61+AD61+AG61</f>
        <v>3</v>
      </c>
    </row>
    <row r="62" spans="1:38" ht="30.6" x14ac:dyDescent="0.25">
      <c r="A62" s="169">
        <v>3</v>
      </c>
      <c r="B62" s="101" t="s">
        <v>163</v>
      </c>
      <c r="C62" s="179" t="s">
        <v>165</v>
      </c>
      <c r="D62" s="217"/>
      <c r="E62" s="218"/>
      <c r="F62" s="218"/>
      <c r="G62" s="219"/>
      <c r="H62" s="100">
        <v>36</v>
      </c>
      <c r="I62" s="101">
        <v>17</v>
      </c>
      <c r="J62" s="180">
        <v>2</v>
      </c>
      <c r="K62" s="102"/>
      <c r="L62" s="100">
        <f>37+5</f>
        <v>42</v>
      </c>
      <c r="M62" s="123">
        <f>14+4</f>
        <v>18</v>
      </c>
      <c r="N62" s="181">
        <f>2+0.5</f>
        <v>2.5</v>
      </c>
      <c r="O62" s="102"/>
      <c r="P62" s="100">
        <f>8+54</f>
        <v>62</v>
      </c>
      <c r="Q62" s="101">
        <f>7+25</f>
        <v>32</v>
      </c>
      <c r="R62" s="123">
        <f>0.5+2</f>
        <v>2.5</v>
      </c>
      <c r="S62" s="102"/>
      <c r="T62" s="100">
        <v>55</v>
      </c>
      <c r="U62" s="101">
        <v>24</v>
      </c>
      <c r="V62" s="123">
        <v>2</v>
      </c>
      <c r="W62" s="102"/>
      <c r="X62" s="100">
        <v>37</v>
      </c>
      <c r="Y62" s="101">
        <v>15</v>
      </c>
      <c r="Z62" s="123">
        <v>2</v>
      </c>
      <c r="AA62" s="124"/>
      <c r="AB62" s="100">
        <v>29</v>
      </c>
      <c r="AC62" s="101">
        <v>13</v>
      </c>
      <c r="AD62" s="101">
        <v>1</v>
      </c>
      <c r="AE62" s="100">
        <f>117+43+36</f>
        <v>196</v>
      </c>
      <c r="AF62" s="101">
        <f>51+19+16</f>
        <v>86</v>
      </c>
      <c r="AG62" s="101">
        <f>5+2+2</f>
        <v>9</v>
      </c>
      <c r="AH62" s="100">
        <f t="shared" si="8"/>
        <v>457</v>
      </c>
      <c r="AI62" s="101">
        <f t="shared" si="8"/>
        <v>205</v>
      </c>
      <c r="AJ62" s="100">
        <v>307</v>
      </c>
      <c r="AK62" s="101">
        <v>143</v>
      </c>
      <c r="AL62" s="182">
        <f>F62+J62+N62+R62+V62+Z62+AD62+AG62</f>
        <v>21</v>
      </c>
    </row>
    <row r="63" spans="1:38" ht="28.2" x14ac:dyDescent="0.25">
      <c r="A63" s="169">
        <v>4</v>
      </c>
      <c r="B63" s="101" t="s">
        <v>163</v>
      </c>
      <c r="C63" s="179" t="s">
        <v>175</v>
      </c>
      <c r="D63" s="100">
        <v>27</v>
      </c>
      <c r="E63" s="101">
        <v>8</v>
      </c>
      <c r="F63" s="123">
        <v>1</v>
      </c>
      <c r="G63" s="102"/>
      <c r="H63" s="100">
        <v>29</v>
      </c>
      <c r="I63" s="101">
        <v>13</v>
      </c>
      <c r="J63" s="123">
        <v>1</v>
      </c>
      <c r="K63" s="102"/>
      <c r="L63" s="100">
        <v>29</v>
      </c>
      <c r="M63" s="101">
        <v>16</v>
      </c>
      <c r="N63" s="176">
        <v>1</v>
      </c>
      <c r="O63" s="177"/>
      <c r="P63" s="100">
        <v>36</v>
      </c>
      <c r="Q63" s="101">
        <v>22</v>
      </c>
      <c r="R63" s="123">
        <v>2</v>
      </c>
      <c r="S63" s="102"/>
      <c r="T63" s="100">
        <v>38</v>
      </c>
      <c r="U63" s="101">
        <v>23</v>
      </c>
      <c r="V63" s="123">
        <v>2</v>
      </c>
      <c r="W63" s="102"/>
      <c r="X63" s="100">
        <v>19</v>
      </c>
      <c r="Y63" s="101">
        <v>11</v>
      </c>
      <c r="Z63" s="123">
        <v>1</v>
      </c>
      <c r="AA63" s="124"/>
      <c r="AB63" s="100">
        <v>14</v>
      </c>
      <c r="AC63" s="101">
        <v>5</v>
      </c>
      <c r="AD63" s="101">
        <v>1</v>
      </c>
      <c r="AE63" s="103">
        <v>0</v>
      </c>
      <c r="AF63" s="103">
        <v>0</v>
      </c>
      <c r="AG63" s="103">
        <v>0</v>
      </c>
      <c r="AH63" s="100">
        <f t="shared" si="8"/>
        <v>192</v>
      </c>
      <c r="AI63" s="101">
        <f t="shared" si="8"/>
        <v>98</v>
      </c>
      <c r="AJ63" s="100">
        <v>50</v>
      </c>
      <c r="AK63" s="101">
        <v>22</v>
      </c>
      <c r="AL63" s="171">
        <f>F63+J63+N63+R63+V63+Z63+AD63+AG63</f>
        <v>9</v>
      </c>
    </row>
    <row r="64" spans="1:38" ht="17.399999999999999" x14ac:dyDescent="0.25">
      <c r="A64" s="169">
        <v>5</v>
      </c>
      <c r="B64" s="101" t="s">
        <v>163</v>
      </c>
      <c r="C64" s="179" t="s">
        <v>11</v>
      </c>
      <c r="D64" s="100">
        <v>24</v>
      </c>
      <c r="E64" s="101">
        <v>7</v>
      </c>
      <c r="F64" s="123">
        <v>1</v>
      </c>
      <c r="G64" s="102"/>
      <c r="H64" s="100">
        <v>40</v>
      </c>
      <c r="I64" s="101">
        <v>19</v>
      </c>
      <c r="J64" s="123">
        <v>2</v>
      </c>
      <c r="K64" s="102"/>
      <c r="L64" s="100">
        <v>49</v>
      </c>
      <c r="M64" s="101">
        <v>23</v>
      </c>
      <c r="N64" s="123">
        <v>2</v>
      </c>
      <c r="O64" s="102"/>
      <c r="P64" s="100">
        <v>54</v>
      </c>
      <c r="Q64" s="101">
        <v>32</v>
      </c>
      <c r="R64" s="123">
        <v>2</v>
      </c>
      <c r="S64" s="102"/>
      <c r="T64" s="100">
        <v>61</v>
      </c>
      <c r="U64" s="101">
        <v>36</v>
      </c>
      <c r="V64" s="123">
        <v>3</v>
      </c>
      <c r="W64" s="102"/>
      <c r="X64" s="100"/>
      <c r="Y64" s="101"/>
      <c r="Z64" s="123"/>
      <c r="AA64" s="124"/>
      <c r="AB64" s="100">
        <v>45</v>
      </c>
      <c r="AC64" s="101">
        <v>27</v>
      </c>
      <c r="AD64" s="101">
        <v>2</v>
      </c>
      <c r="AE64" s="103">
        <v>0</v>
      </c>
      <c r="AF64" s="103">
        <v>0</v>
      </c>
      <c r="AG64" s="103">
        <v>0</v>
      </c>
      <c r="AH64" s="100">
        <f t="shared" si="8"/>
        <v>273</v>
      </c>
      <c r="AI64" s="101">
        <f t="shared" si="8"/>
        <v>144</v>
      </c>
      <c r="AJ64" s="100">
        <v>40</v>
      </c>
      <c r="AK64" s="101">
        <v>20</v>
      </c>
      <c r="AL64" s="171">
        <f>F64+J64+N64+R64+V64+Z64+AD64+AG64</f>
        <v>12</v>
      </c>
    </row>
    <row r="65" spans="1:38" ht="28.2" x14ac:dyDescent="0.25">
      <c r="A65" s="169">
        <v>6</v>
      </c>
      <c r="B65" s="101" t="s">
        <v>163</v>
      </c>
      <c r="C65" s="179" t="s">
        <v>166</v>
      </c>
      <c r="D65" s="100">
        <v>25</v>
      </c>
      <c r="E65" s="101">
        <v>10</v>
      </c>
      <c r="F65" s="123">
        <v>1</v>
      </c>
      <c r="G65" s="102"/>
      <c r="H65" s="100">
        <v>31</v>
      </c>
      <c r="I65" s="101">
        <v>8</v>
      </c>
      <c r="J65" s="123">
        <v>1</v>
      </c>
      <c r="K65" s="102"/>
      <c r="L65" s="100">
        <v>36</v>
      </c>
      <c r="M65" s="101">
        <v>22</v>
      </c>
      <c r="N65" s="123">
        <v>2</v>
      </c>
      <c r="O65" s="102"/>
      <c r="P65" s="100">
        <v>50</v>
      </c>
      <c r="Q65" s="101">
        <v>15</v>
      </c>
      <c r="R65" s="123">
        <v>2</v>
      </c>
      <c r="S65" s="102"/>
      <c r="T65" s="100">
        <v>51</v>
      </c>
      <c r="U65" s="101">
        <v>24</v>
      </c>
      <c r="V65" s="123">
        <v>2</v>
      </c>
      <c r="W65" s="102"/>
      <c r="X65" s="100"/>
      <c r="Y65" s="101"/>
      <c r="Z65" s="123"/>
      <c r="AA65" s="124"/>
      <c r="AB65" s="100">
        <v>47</v>
      </c>
      <c r="AC65" s="101">
        <v>16</v>
      </c>
      <c r="AD65" s="101">
        <v>2</v>
      </c>
      <c r="AE65" s="103">
        <v>0</v>
      </c>
      <c r="AF65" s="103">
        <v>0</v>
      </c>
      <c r="AG65" s="103">
        <v>0</v>
      </c>
      <c r="AH65" s="100">
        <f t="shared" si="8"/>
        <v>240</v>
      </c>
      <c r="AI65" s="101">
        <f t="shared" si="8"/>
        <v>95</v>
      </c>
      <c r="AJ65" s="100">
        <v>44</v>
      </c>
      <c r="AK65" s="101">
        <v>12</v>
      </c>
      <c r="AL65" s="171">
        <f>F65+J65+N65+R65+V65+Z65+AD65+AG65</f>
        <v>10</v>
      </c>
    </row>
    <row r="66" spans="1:38" ht="28.8" thickBot="1" x14ac:dyDescent="0.3">
      <c r="A66" s="169">
        <v>7</v>
      </c>
      <c r="B66" s="183" t="s">
        <v>163</v>
      </c>
      <c r="C66" s="179" t="s">
        <v>176</v>
      </c>
      <c r="D66" s="100">
        <v>25</v>
      </c>
      <c r="E66" s="101">
        <v>12</v>
      </c>
      <c r="F66" s="184">
        <v>1</v>
      </c>
      <c r="G66" s="185"/>
      <c r="H66" s="186">
        <v>25</v>
      </c>
      <c r="I66" s="183">
        <v>12</v>
      </c>
      <c r="J66" s="184">
        <v>1</v>
      </c>
      <c r="K66" s="185"/>
      <c r="L66" s="100">
        <v>38</v>
      </c>
      <c r="M66" s="101">
        <v>14</v>
      </c>
      <c r="N66" s="123">
        <v>2</v>
      </c>
      <c r="O66" s="102"/>
      <c r="P66" s="100">
        <v>46</v>
      </c>
      <c r="Q66" s="101">
        <v>23</v>
      </c>
      <c r="R66" s="123">
        <v>2</v>
      </c>
      <c r="S66" s="102"/>
      <c r="T66" s="100">
        <v>69</v>
      </c>
      <c r="U66" s="101">
        <v>27</v>
      </c>
      <c r="V66" s="123">
        <v>3</v>
      </c>
      <c r="W66" s="102"/>
      <c r="X66" s="100">
        <v>26</v>
      </c>
      <c r="Y66" s="101">
        <v>8</v>
      </c>
      <c r="Z66" s="123">
        <v>1</v>
      </c>
      <c r="AA66" s="124"/>
      <c r="AB66" s="100">
        <v>22</v>
      </c>
      <c r="AC66" s="101">
        <v>8</v>
      </c>
      <c r="AD66" s="101">
        <v>1</v>
      </c>
      <c r="AE66" s="103">
        <v>0</v>
      </c>
      <c r="AF66" s="103">
        <v>0</v>
      </c>
      <c r="AG66" s="103">
        <v>0</v>
      </c>
      <c r="AH66" s="100">
        <f t="shared" si="8"/>
        <v>251</v>
      </c>
      <c r="AI66" s="101">
        <f t="shared" si="8"/>
        <v>104</v>
      </c>
      <c r="AJ66" s="100">
        <v>27</v>
      </c>
      <c r="AK66" s="101">
        <v>8</v>
      </c>
      <c r="AL66" s="171">
        <f>F66+J66+N66+R66+V66+Z66+AD66+AG66</f>
        <v>11</v>
      </c>
    </row>
    <row r="67" spans="1:38" ht="16.2" thickBot="1" x14ac:dyDescent="0.3">
      <c r="A67" s="187"/>
      <c r="B67" s="188" t="s">
        <v>163</v>
      </c>
      <c r="C67" s="189" t="s">
        <v>31</v>
      </c>
      <c r="D67" s="121">
        <f>SUM(D60:D66)</f>
        <v>101</v>
      </c>
      <c r="E67" s="121">
        <f>SUM(E60:E66)</f>
        <v>37</v>
      </c>
      <c r="F67" s="220">
        <f>SUM(F60:F66)</f>
        <v>4</v>
      </c>
      <c r="G67" s="221"/>
      <c r="H67" s="190">
        <f>SUM(H60:H66)</f>
        <v>161</v>
      </c>
      <c r="I67" s="190">
        <f>SUM(I60:I66)</f>
        <v>69</v>
      </c>
      <c r="J67" s="220">
        <f>SUM(J60:J66)</f>
        <v>7</v>
      </c>
      <c r="K67" s="221"/>
      <c r="L67" s="121">
        <f>SUM(L60:L66)</f>
        <v>194</v>
      </c>
      <c r="M67" s="121">
        <f>SUM(M60:M66)</f>
        <v>93</v>
      </c>
      <c r="N67" s="222">
        <f>SUM(N60:N66)</f>
        <v>9.5</v>
      </c>
      <c r="O67" s="223"/>
      <c r="P67" s="121">
        <f>SUM(P60:P66)</f>
        <v>294</v>
      </c>
      <c r="Q67" s="121">
        <f>SUM(Q60:Q66)</f>
        <v>143</v>
      </c>
      <c r="R67" s="222">
        <f>SUM(R60:R66)</f>
        <v>12.5</v>
      </c>
      <c r="S67" s="223"/>
      <c r="T67" s="121">
        <f>SUM(T60:T66)</f>
        <v>341</v>
      </c>
      <c r="U67" s="121">
        <f>SUM(U60:U66)</f>
        <v>159</v>
      </c>
      <c r="V67" s="222">
        <f>SUM(V60:V66)</f>
        <v>15</v>
      </c>
      <c r="W67" s="223"/>
      <c r="X67" s="121">
        <f>SUM(X60:X66)</f>
        <v>123</v>
      </c>
      <c r="Y67" s="121">
        <f>SUM(Y60:Y66)</f>
        <v>47</v>
      </c>
      <c r="Z67" s="222">
        <f>SUM(Z60:Z66)</f>
        <v>6</v>
      </c>
      <c r="AA67" s="223"/>
      <c r="AB67" s="121">
        <f t="shared" ref="AB67:AK67" si="9">SUM(AB60:AB66)</f>
        <v>204</v>
      </c>
      <c r="AC67" s="121">
        <f t="shared" si="9"/>
        <v>89</v>
      </c>
      <c r="AD67" s="121">
        <f t="shared" si="9"/>
        <v>9</v>
      </c>
      <c r="AE67" s="121">
        <f t="shared" si="9"/>
        <v>196</v>
      </c>
      <c r="AF67" s="121">
        <f t="shared" si="9"/>
        <v>86</v>
      </c>
      <c r="AG67" s="121">
        <f t="shared" si="9"/>
        <v>9</v>
      </c>
      <c r="AH67" s="121">
        <f t="shared" si="9"/>
        <v>1614</v>
      </c>
      <c r="AI67" s="121">
        <f t="shared" si="9"/>
        <v>723</v>
      </c>
      <c r="AJ67" s="121">
        <f t="shared" si="9"/>
        <v>490</v>
      </c>
      <c r="AK67" s="121">
        <f t="shared" si="9"/>
        <v>216</v>
      </c>
      <c r="AL67" s="191">
        <f>F67+J67+N67+R67+V67+Z67+AD67+AG67</f>
        <v>72</v>
      </c>
    </row>
    <row r="68" spans="1:38" ht="16.2" x14ac:dyDescent="0.3">
      <c r="A68" s="192" t="s">
        <v>164</v>
      </c>
      <c r="B68" s="117"/>
      <c r="C68" s="150"/>
      <c r="D68" s="119"/>
      <c r="E68" s="119"/>
      <c r="F68" s="193"/>
      <c r="G68" s="193"/>
      <c r="H68" s="119"/>
      <c r="I68" s="119"/>
      <c r="J68" s="193"/>
      <c r="K68" s="193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7"/>
    </row>
    <row r="69" spans="1:38" ht="16.2" x14ac:dyDescent="0.3">
      <c r="A69" s="194" t="s">
        <v>173</v>
      </c>
      <c r="B69" s="117"/>
      <c r="C69" s="150"/>
      <c r="D69" s="119"/>
      <c r="E69" s="119"/>
      <c r="F69" s="193"/>
      <c r="G69" s="193"/>
      <c r="H69" s="119"/>
      <c r="I69" s="119"/>
      <c r="J69" s="193"/>
      <c r="K69" s="193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7"/>
    </row>
    <row r="70" spans="1:38" ht="15" x14ac:dyDescent="0.25">
      <c r="A70" s="195" t="s">
        <v>170</v>
      </c>
      <c r="B70" s="107"/>
    </row>
    <row r="71" spans="1:38" ht="15" x14ac:dyDescent="0.25">
      <c r="A71" s="195" t="s">
        <v>171</v>
      </c>
      <c r="B71" s="107"/>
    </row>
    <row r="72" spans="1:38" ht="15" x14ac:dyDescent="0.25">
      <c r="A72" s="195" t="s">
        <v>174</v>
      </c>
      <c r="B72" s="107"/>
    </row>
    <row r="73" spans="1:38" ht="15" x14ac:dyDescent="0.25">
      <c r="A73" s="195" t="s">
        <v>169</v>
      </c>
      <c r="B73" s="107"/>
    </row>
    <row r="74" spans="1:38" ht="15" x14ac:dyDescent="0.25">
      <c r="A74" s="195" t="s">
        <v>172</v>
      </c>
      <c r="B74" s="107"/>
    </row>
    <row r="75" spans="1:38" ht="15" x14ac:dyDescent="0.25">
      <c r="A75" s="196" t="s">
        <v>179</v>
      </c>
    </row>
    <row r="76" spans="1:38" ht="15" x14ac:dyDescent="0.25">
      <c r="A76" s="196" t="s">
        <v>178</v>
      </c>
    </row>
    <row r="77" spans="1:38" ht="30.6" x14ac:dyDescent="0.25">
      <c r="A77" s="169">
        <v>1</v>
      </c>
      <c r="B77" s="101" t="s">
        <v>182</v>
      </c>
      <c r="C77" s="170" t="s">
        <v>167</v>
      </c>
      <c r="D77" s="217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9"/>
      <c r="T77" s="100">
        <v>40</v>
      </c>
      <c r="U77" s="101">
        <v>17</v>
      </c>
      <c r="V77" s="123">
        <v>2</v>
      </c>
      <c r="W77" s="102"/>
      <c r="X77" s="100">
        <v>25</v>
      </c>
      <c r="Y77" s="101">
        <v>7</v>
      </c>
      <c r="Z77" s="123">
        <v>1</v>
      </c>
      <c r="AA77" s="124"/>
      <c r="AB77" s="100">
        <v>23</v>
      </c>
      <c r="AC77" s="101">
        <v>6</v>
      </c>
      <c r="AD77" s="101">
        <v>1</v>
      </c>
      <c r="AE77" s="103">
        <v>0</v>
      </c>
      <c r="AF77" s="103">
        <v>0</v>
      </c>
      <c r="AG77" s="103">
        <v>0</v>
      </c>
      <c r="AH77" s="100">
        <f t="shared" ref="AH77:AI82" si="10">D77+H77+L77+P77+T77+X77+AB77+AE77</f>
        <v>88</v>
      </c>
      <c r="AI77" s="101">
        <f t="shared" si="10"/>
        <v>30</v>
      </c>
      <c r="AJ77" s="100">
        <v>3</v>
      </c>
      <c r="AK77" s="101">
        <v>0</v>
      </c>
      <c r="AL77" s="171">
        <v>4</v>
      </c>
    </row>
    <row r="78" spans="1:38" ht="30.6" x14ac:dyDescent="0.25">
      <c r="A78" s="169">
        <v>2</v>
      </c>
      <c r="B78" s="101" t="s">
        <v>182</v>
      </c>
      <c r="C78" s="179" t="s">
        <v>186</v>
      </c>
      <c r="D78" s="217"/>
      <c r="E78" s="218"/>
      <c r="F78" s="218"/>
      <c r="G78" s="218"/>
      <c r="H78" s="218"/>
      <c r="I78" s="218"/>
      <c r="J78" s="218"/>
      <c r="K78" s="219"/>
      <c r="L78" s="100">
        <v>51</v>
      </c>
      <c r="M78" s="123">
        <v>26</v>
      </c>
      <c r="N78" s="180">
        <v>3</v>
      </c>
      <c r="O78" s="102"/>
      <c r="P78" s="100">
        <v>37</v>
      </c>
      <c r="Q78" s="101">
        <v>13</v>
      </c>
      <c r="R78" s="123">
        <v>2</v>
      </c>
      <c r="S78" s="102"/>
      <c r="T78" s="100">
        <v>51</v>
      </c>
      <c r="U78" s="101">
        <v>24</v>
      </c>
      <c r="V78" s="123">
        <v>2</v>
      </c>
      <c r="W78" s="102"/>
      <c r="X78" s="100">
        <v>44</v>
      </c>
      <c r="Y78" s="101">
        <v>22</v>
      </c>
      <c r="Z78" s="123">
        <v>2</v>
      </c>
      <c r="AA78" s="124"/>
      <c r="AB78" s="100">
        <v>30</v>
      </c>
      <c r="AC78" s="101">
        <v>12</v>
      </c>
      <c r="AD78" s="101">
        <v>1</v>
      </c>
      <c r="AE78" s="100">
        <v>189</v>
      </c>
      <c r="AF78" s="101">
        <v>73</v>
      </c>
      <c r="AG78" s="101">
        <v>11</v>
      </c>
      <c r="AH78" s="100">
        <f t="shared" si="10"/>
        <v>402</v>
      </c>
      <c r="AI78" s="101">
        <f t="shared" si="10"/>
        <v>170</v>
      </c>
      <c r="AJ78" s="100">
        <v>285</v>
      </c>
      <c r="AK78" s="101">
        <v>124</v>
      </c>
      <c r="AL78" s="182">
        <f>N78+R78+V78+Z78+AD78+AG78</f>
        <v>21</v>
      </c>
    </row>
    <row r="79" spans="1:38" ht="28.2" x14ac:dyDescent="0.25">
      <c r="A79" s="169">
        <v>3</v>
      </c>
      <c r="B79" s="101" t="s">
        <v>182</v>
      </c>
      <c r="C79" s="179" t="s">
        <v>175</v>
      </c>
      <c r="D79" s="100">
        <v>27</v>
      </c>
      <c r="E79" s="101">
        <v>11</v>
      </c>
      <c r="F79" s="123">
        <v>1</v>
      </c>
      <c r="G79" s="102"/>
      <c r="H79" s="100">
        <v>30</v>
      </c>
      <c r="I79" s="101">
        <v>8</v>
      </c>
      <c r="J79" s="123">
        <v>1</v>
      </c>
      <c r="K79" s="102"/>
      <c r="L79" s="100">
        <v>29</v>
      </c>
      <c r="M79" s="101">
        <v>10</v>
      </c>
      <c r="N79" s="176">
        <v>1</v>
      </c>
      <c r="O79" s="177"/>
      <c r="P79" s="100">
        <v>33</v>
      </c>
      <c r="Q79" s="101">
        <v>19</v>
      </c>
      <c r="R79" s="123">
        <v>1</v>
      </c>
      <c r="S79" s="102"/>
      <c r="T79" s="100">
        <v>38</v>
      </c>
      <c r="U79" s="101">
        <v>23</v>
      </c>
      <c r="V79" s="123">
        <v>2</v>
      </c>
      <c r="W79" s="102"/>
      <c r="X79" s="100">
        <v>20</v>
      </c>
      <c r="Y79" s="101">
        <v>13</v>
      </c>
      <c r="Z79" s="123">
        <v>1</v>
      </c>
      <c r="AA79" s="124"/>
      <c r="AB79" s="100">
        <v>21</v>
      </c>
      <c r="AC79" s="101">
        <v>11</v>
      </c>
      <c r="AD79" s="101">
        <v>1</v>
      </c>
      <c r="AE79" s="103">
        <v>48</v>
      </c>
      <c r="AF79" s="103">
        <v>24</v>
      </c>
      <c r="AG79" s="103">
        <v>2</v>
      </c>
      <c r="AH79" s="100">
        <f t="shared" si="10"/>
        <v>246</v>
      </c>
      <c r="AI79" s="101">
        <f t="shared" si="10"/>
        <v>119</v>
      </c>
      <c r="AJ79" s="100">
        <v>106</v>
      </c>
      <c r="AK79" s="101">
        <v>48</v>
      </c>
      <c r="AL79" s="197">
        <f>F79+J79+N79+R79+V79+Z79+AD79+AG79</f>
        <v>10</v>
      </c>
    </row>
    <row r="80" spans="1:38" ht="17.399999999999999" x14ac:dyDescent="0.25">
      <c r="A80" s="169">
        <v>4</v>
      </c>
      <c r="B80" s="101" t="s">
        <v>182</v>
      </c>
      <c r="C80" s="179" t="s">
        <v>11</v>
      </c>
      <c r="D80" s="100">
        <v>24</v>
      </c>
      <c r="E80" s="101">
        <v>15</v>
      </c>
      <c r="F80" s="123">
        <v>1</v>
      </c>
      <c r="G80" s="102"/>
      <c r="H80" s="100">
        <v>25</v>
      </c>
      <c r="I80" s="101">
        <v>5</v>
      </c>
      <c r="J80" s="123">
        <v>1</v>
      </c>
      <c r="K80" s="102"/>
      <c r="L80" s="100">
        <v>45</v>
      </c>
      <c r="M80" s="101">
        <v>23</v>
      </c>
      <c r="N80" s="123">
        <v>2</v>
      </c>
      <c r="O80" s="102"/>
      <c r="P80" s="100">
        <v>57</v>
      </c>
      <c r="Q80" s="101">
        <v>28</v>
      </c>
      <c r="R80" s="123">
        <v>2</v>
      </c>
      <c r="S80" s="102"/>
      <c r="T80" s="100">
        <v>70</v>
      </c>
      <c r="U80" s="101">
        <v>39</v>
      </c>
      <c r="V80" s="123">
        <v>3</v>
      </c>
      <c r="W80" s="102"/>
      <c r="X80" s="100">
        <v>42</v>
      </c>
      <c r="Y80" s="101">
        <v>25</v>
      </c>
      <c r="Z80" s="123">
        <v>2</v>
      </c>
      <c r="AA80" s="102" t="s">
        <v>15</v>
      </c>
      <c r="AB80" s="103">
        <v>0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0">
        <f t="shared" si="10"/>
        <v>263</v>
      </c>
      <c r="AI80" s="101">
        <f t="shared" si="10"/>
        <v>135</v>
      </c>
      <c r="AJ80" s="100">
        <v>44</v>
      </c>
      <c r="AK80" s="101">
        <v>20</v>
      </c>
      <c r="AL80" s="197">
        <f>F80+J80+N80+R80+V80+Z80+AD80+AG80</f>
        <v>11</v>
      </c>
    </row>
    <row r="81" spans="1:40" ht="28.2" x14ac:dyDescent="0.25">
      <c r="A81" s="169">
        <v>5</v>
      </c>
      <c r="B81" s="101" t="s">
        <v>182</v>
      </c>
      <c r="C81" s="179" t="s">
        <v>166</v>
      </c>
      <c r="D81" s="100">
        <v>24</v>
      </c>
      <c r="E81" s="101">
        <v>9</v>
      </c>
      <c r="F81" s="123">
        <v>1</v>
      </c>
      <c r="G81" s="102"/>
      <c r="H81" s="100">
        <v>28</v>
      </c>
      <c r="I81" s="101">
        <v>13</v>
      </c>
      <c r="J81" s="123">
        <v>1</v>
      </c>
      <c r="K81" s="102"/>
      <c r="L81" s="100">
        <v>49</v>
      </c>
      <c r="M81" s="101">
        <v>13</v>
      </c>
      <c r="N81" s="123">
        <v>2</v>
      </c>
      <c r="O81" s="102"/>
      <c r="P81" s="100">
        <v>39</v>
      </c>
      <c r="Q81" s="101">
        <v>20</v>
      </c>
      <c r="R81" s="123">
        <v>2</v>
      </c>
      <c r="S81" s="102"/>
      <c r="T81" s="100">
        <v>61</v>
      </c>
      <c r="U81" s="101">
        <v>26</v>
      </c>
      <c r="V81" s="123">
        <v>2</v>
      </c>
      <c r="W81" s="102"/>
      <c r="X81" s="100">
        <v>46</v>
      </c>
      <c r="Y81" s="101">
        <v>18</v>
      </c>
      <c r="Z81" s="123">
        <v>2</v>
      </c>
      <c r="AA81" s="102" t="s">
        <v>15</v>
      </c>
      <c r="AB81" s="103">
        <v>0</v>
      </c>
      <c r="AC81" s="103">
        <v>0</v>
      </c>
      <c r="AD81" s="103">
        <v>0</v>
      </c>
      <c r="AE81" s="103">
        <v>16</v>
      </c>
      <c r="AF81" s="103">
        <v>3</v>
      </c>
      <c r="AG81" s="103">
        <v>1</v>
      </c>
      <c r="AH81" s="100">
        <f t="shared" si="10"/>
        <v>263</v>
      </c>
      <c r="AI81" s="101">
        <f t="shared" si="10"/>
        <v>102</v>
      </c>
      <c r="AJ81" s="100">
        <v>77</v>
      </c>
      <c r="AK81" s="101">
        <v>22</v>
      </c>
      <c r="AL81" s="197">
        <f>F81+J81+N81+R81+V81+Z81+AD81+AG81</f>
        <v>11</v>
      </c>
    </row>
    <row r="82" spans="1:40" ht="28.8" thickBot="1" x14ac:dyDescent="0.3">
      <c r="A82" s="169">
        <v>6</v>
      </c>
      <c r="B82" s="183" t="s">
        <v>182</v>
      </c>
      <c r="C82" s="179" t="s">
        <v>176</v>
      </c>
      <c r="D82" s="100">
        <v>27</v>
      </c>
      <c r="E82" s="101">
        <v>10</v>
      </c>
      <c r="F82" s="184">
        <v>1</v>
      </c>
      <c r="G82" s="185"/>
      <c r="H82" s="186">
        <v>30</v>
      </c>
      <c r="I82" s="183">
        <v>14</v>
      </c>
      <c r="J82" s="184">
        <v>1</v>
      </c>
      <c r="K82" s="185"/>
      <c r="L82" s="100">
        <v>41</v>
      </c>
      <c r="M82" s="101">
        <v>16</v>
      </c>
      <c r="N82" s="123">
        <v>2</v>
      </c>
      <c r="O82" s="102"/>
      <c r="P82" s="100">
        <v>44</v>
      </c>
      <c r="Q82" s="101">
        <v>14</v>
      </c>
      <c r="R82" s="123">
        <v>2</v>
      </c>
      <c r="S82" s="102"/>
      <c r="T82" s="100">
        <v>54</v>
      </c>
      <c r="U82" s="101">
        <v>26</v>
      </c>
      <c r="V82" s="123">
        <v>2</v>
      </c>
      <c r="W82" s="102"/>
      <c r="X82" s="100">
        <v>24</v>
      </c>
      <c r="Y82" s="101">
        <v>13</v>
      </c>
      <c r="Z82" s="123">
        <v>1</v>
      </c>
      <c r="AA82" s="124"/>
      <c r="AB82" s="100">
        <v>28</v>
      </c>
      <c r="AC82" s="101">
        <v>6</v>
      </c>
      <c r="AD82" s="101">
        <v>1</v>
      </c>
      <c r="AE82" s="103">
        <v>0</v>
      </c>
      <c r="AF82" s="103">
        <v>0</v>
      </c>
      <c r="AG82" s="103">
        <v>0</v>
      </c>
      <c r="AH82" s="100">
        <f t="shared" si="10"/>
        <v>248</v>
      </c>
      <c r="AI82" s="101">
        <f t="shared" si="10"/>
        <v>99</v>
      </c>
      <c r="AJ82" s="100">
        <v>23</v>
      </c>
      <c r="AK82" s="101">
        <v>9</v>
      </c>
      <c r="AL82" s="197">
        <f>F82+J82+N82+R82+V82+Z82+AD82+AG82</f>
        <v>10</v>
      </c>
    </row>
    <row r="83" spans="1:40" s="198" customFormat="1" ht="16.2" thickBot="1" x14ac:dyDescent="0.3">
      <c r="A83" s="187"/>
      <c r="B83" s="188" t="s">
        <v>182</v>
      </c>
      <c r="C83" s="189" t="s">
        <v>31</v>
      </c>
      <c r="D83" s="121">
        <f>SUM(D77:D82)</f>
        <v>102</v>
      </c>
      <c r="E83" s="121">
        <f>SUM(E77:E82)</f>
        <v>45</v>
      </c>
      <c r="F83" s="220">
        <f>SUM(F77:F82)</f>
        <v>4</v>
      </c>
      <c r="G83" s="221"/>
      <c r="H83" s="190">
        <f>SUM(H77:H82)</f>
        <v>113</v>
      </c>
      <c r="I83" s="190">
        <f>SUM(I77:I82)</f>
        <v>40</v>
      </c>
      <c r="J83" s="220">
        <f>SUM(J77:J82)</f>
        <v>4</v>
      </c>
      <c r="K83" s="221"/>
      <c r="L83" s="121">
        <f>SUM(L77:L82)</f>
        <v>215</v>
      </c>
      <c r="M83" s="121">
        <f>SUM(M77:M82)</f>
        <v>88</v>
      </c>
      <c r="N83" s="222">
        <f>SUM(N77:N82)</f>
        <v>10</v>
      </c>
      <c r="O83" s="223"/>
      <c r="P83" s="121">
        <f>SUM(P77:P82)</f>
        <v>210</v>
      </c>
      <c r="Q83" s="121">
        <f>SUM(Q77:Q82)</f>
        <v>94</v>
      </c>
      <c r="R83" s="222">
        <f>SUM(R77:R82)</f>
        <v>9</v>
      </c>
      <c r="S83" s="223"/>
      <c r="T83" s="121">
        <f>SUM(T77:T82)</f>
        <v>314</v>
      </c>
      <c r="U83" s="121">
        <f>SUM(U77:U82)</f>
        <v>155</v>
      </c>
      <c r="V83" s="222">
        <f>SUM(V77:V82)</f>
        <v>13</v>
      </c>
      <c r="W83" s="223"/>
      <c r="X83" s="121">
        <f>SUM(X77:X82)</f>
        <v>201</v>
      </c>
      <c r="Y83" s="121">
        <f>SUM(Y77:Y82)</f>
        <v>98</v>
      </c>
      <c r="Z83" s="222">
        <f>SUM(Z77:Z82)</f>
        <v>9</v>
      </c>
      <c r="AA83" s="223"/>
      <c r="AB83" s="121">
        <f t="shared" ref="AB83:AK83" si="11">SUM(AB77:AB82)</f>
        <v>102</v>
      </c>
      <c r="AC83" s="121">
        <f t="shared" si="11"/>
        <v>35</v>
      </c>
      <c r="AD83" s="121">
        <f t="shared" si="11"/>
        <v>4</v>
      </c>
      <c r="AE83" s="121">
        <f t="shared" si="11"/>
        <v>253</v>
      </c>
      <c r="AF83" s="121">
        <f t="shared" si="11"/>
        <v>100</v>
      </c>
      <c r="AG83" s="121">
        <f t="shared" si="11"/>
        <v>14</v>
      </c>
      <c r="AH83" s="121">
        <f t="shared" si="11"/>
        <v>1510</v>
      </c>
      <c r="AI83" s="121">
        <f t="shared" si="11"/>
        <v>655</v>
      </c>
      <c r="AJ83" s="121">
        <f t="shared" si="11"/>
        <v>538</v>
      </c>
      <c r="AK83" s="121">
        <f t="shared" si="11"/>
        <v>223</v>
      </c>
      <c r="AL83" s="191">
        <f>F83+J83+N83+R83+V83+Z83+AD83+AG83</f>
        <v>67</v>
      </c>
    </row>
    <row r="84" spans="1:40" ht="16.2" x14ac:dyDescent="0.3">
      <c r="B84" s="107" t="s">
        <v>182</v>
      </c>
      <c r="C84" s="192" t="s">
        <v>164</v>
      </c>
      <c r="D84" s="117"/>
      <c r="E84" s="150"/>
      <c r="F84" s="119"/>
      <c r="G84" s="119"/>
      <c r="H84" s="193"/>
      <c r="I84" s="193"/>
      <c r="J84" s="119"/>
      <c r="K84" s="119"/>
      <c r="L84" s="193"/>
      <c r="M84" s="193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7"/>
    </row>
    <row r="85" spans="1:40" ht="16.2" x14ac:dyDescent="0.3">
      <c r="B85" s="107" t="s">
        <v>182</v>
      </c>
      <c r="C85" s="194" t="s">
        <v>185</v>
      </c>
      <c r="D85" s="117"/>
      <c r="E85" s="150"/>
      <c r="F85" s="119"/>
      <c r="G85" s="119"/>
      <c r="H85" s="193"/>
      <c r="I85" s="193"/>
      <c r="J85" s="119"/>
      <c r="K85" s="119"/>
      <c r="L85" s="193"/>
      <c r="M85" s="193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7"/>
    </row>
    <row r="86" spans="1:40" ht="16.2" x14ac:dyDescent="0.3">
      <c r="B86" s="107" t="s">
        <v>182</v>
      </c>
      <c r="C86" s="194" t="s">
        <v>187</v>
      </c>
      <c r="D86" s="117"/>
      <c r="E86" s="150"/>
      <c r="F86" s="119"/>
      <c r="G86" s="119"/>
      <c r="H86" s="193"/>
      <c r="I86" s="193"/>
      <c r="J86" s="119"/>
      <c r="K86" s="119"/>
      <c r="L86" s="193"/>
      <c r="M86" s="193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7"/>
    </row>
    <row r="87" spans="1:40" ht="30.6" x14ac:dyDescent="0.25">
      <c r="A87" s="169">
        <v>1</v>
      </c>
      <c r="B87" s="101" t="s">
        <v>188</v>
      </c>
      <c r="C87" s="170" t="s">
        <v>167</v>
      </c>
      <c r="D87" s="217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100">
        <v>20</v>
      </c>
      <c r="Y87" s="101">
        <v>12</v>
      </c>
      <c r="Z87" s="123">
        <v>1</v>
      </c>
      <c r="AA87" s="124"/>
      <c r="AB87" s="100">
        <v>21</v>
      </c>
      <c r="AC87" s="101">
        <v>6</v>
      </c>
      <c r="AD87" s="101">
        <v>1</v>
      </c>
      <c r="AE87" s="103">
        <v>0</v>
      </c>
      <c r="AF87" s="103">
        <v>0</v>
      </c>
      <c r="AG87" s="103">
        <v>0</v>
      </c>
      <c r="AH87" s="100">
        <f t="shared" ref="AH87:AI90" si="12">D87+H87+L87+P87+T87+X87+AB87+AE87</f>
        <v>41</v>
      </c>
      <c r="AI87" s="101">
        <f t="shared" si="12"/>
        <v>18</v>
      </c>
      <c r="AJ87" s="100">
        <v>4</v>
      </c>
      <c r="AK87" s="101">
        <v>1</v>
      </c>
      <c r="AL87" s="171">
        <f>F87+J87+N87+R87+V87+Z87+AD87+AG87</f>
        <v>2</v>
      </c>
    </row>
    <row r="88" spans="1:40" ht="30.6" x14ac:dyDescent="0.25">
      <c r="A88" s="169">
        <v>2</v>
      </c>
      <c r="B88" s="101" t="s">
        <v>188</v>
      </c>
      <c r="C88" s="179" t="s">
        <v>186</v>
      </c>
      <c r="D88" s="217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9"/>
      <c r="P88" s="100">
        <f>18+16+19+7</f>
        <v>60</v>
      </c>
      <c r="Q88" s="101">
        <f>9+8+8+2</f>
        <v>27</v>
      </c>
      <c r="R88" s="123">
        <v>4</v>
      </c>
      <c r="S88" s="102"/>
      <c r="T88" s="100">
        <f>23+22</f>
        <v>45</v>
      </c>
      <c r="U88" s="101">
        <f>9+9</f>
        <v>18</v>
      </c>
      <c r="V88" s="123">
        <v>2</v>
      </c>
      <c r="W88" s="102"/>
      <c r="X88" s="100">
        <f>20+18+13</f>
        <v>51</v>
      </c>
      <c r="Y88" s="101">
        <f>10+8+6</f>
        <v>24</v>
      </c>
      <c r="Z88" s="123">
        <v>3</v>
      </c>
      <c r="AA88" s="124"/>
      <c r="AB88" s="100">
        <v>26</v>
      </c>
      <c r="AC88" s="101">
        <v>11</v>
      </c>
      <c r="AD88" s="101">
        <v>1</v>
      </c>
      <c r="AE88" s="100">
        <f>14+13+9+9+20+19+9</f>
        <v>93</v>
      </c>
      <c r="AF88" s="101">
        <f>5+5+4+5+10+7+5</f>
        <v>41</v>
      </c>
      <c r="AG88" s="101">
        <v>7</v>
      </c>
      <c r="AH88" s="100">
        <f t="shared" si="12"/>
        <v>275</v>
      </c>
      <c r="AI88" s="101">
        <f t="shared" si="12"/>
        <v>121</v>
      </c>
      <c r="AJ88" s="100">
        <v>185</v>
      </c>
      <c r="AK88" s="101">
        <v>87</v>
      </c>
      <c r="AL88" s="182">
        <f>F88+J88+N88+R88+V88+Z88+AD88+AG88</f>
        <v>17</v>
      </c>
    </row>
    <row r="89" spans="1:40" ht="28.2" x14ac:dyDescent="0.25">
      <c r="A89" s="169">
        <v>3</v>
      </c>
      <c r="B89" s="101" t="s">
        <v>188</v>
      </c>
      <c r="C89" s="179" t="s">
        <v>175</v>
      </c>
      <c r="D89" s="100">
        <v>27</v>
      </c>
      <c r="E89" s="101">
        <v>10</v>
      </c>
      <c r="F89" s="123">
        <v>1</v>
      </c>
      <c r="G89" s="102"/>
      <c r="H89" s="100">
        <v>35</v>
      </c>
      <c r="I89" s="101">
        <v>19</v>
      </c>
      <c r="J89" s="123">
        <v>1</v>
      </c>
      <c r="K89" s="102"/>
      <c r="L89" s="100">
        <v>46</v>
      </c>
      <c r="M89" s="101">
        <v>14</v>
      </c>
      <c r="N89" s="176">
        <v>2</v>
      </c>
      <c r="O89" s="177"/>
      <c r="P89" s="100">
        <v>42</v>
      </c>
      <c r="Q89" s="101">
        <v>14</v>
      </c>
      <c r="R89" s="123">
        <v>2</v>
      </c>
      <c r="S89" s="102"/>
      <c r="T89" s="100">
        <v>47</v>
      </c>
      <c r="U89" s="101">
        <v>26</v>
      </c>
      <c r="V89" s="123">
        <v>2</v>
      </c>
      <c r="W89" s="102"/>
      <c r="X89" s="100">
        <v>46</v>
      </c>
      <c r="Y89" s="101">
        <v>25</v>
      </c>
      <c r="Z89" s="123">
        <v>2</v>
      </c>
      <c r="AA89" s="102" t="s">
        <v>15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0</v>
      </c>
      <c r="AH89" s="100">
        <f t="shared" si="12"/>
        <v>243</v>
      </c>
      <c r="AI89" s="101">
        <f t="shared" si="12"/>
        <v>108</v>
      </c>
      <c r="AJ89" s="100">
        <v>113</v>
      </c>
      <c r="AK89" s="101">
        <v>49</v>
      </c>
      <c r="AL89" s="197">
        <f>F89+J89+N89+R89+V89+Z89+AD89+AG89</f>
        <v>10</v>
      </c>
    </row>
    <row r="90" spans="1:40" ht="17.399999999999999" x14ac:dyDescent="0.25">
      <c r="A90" s="169">
        <v>4</v>
      </c>
      <c r="B90" s="101" t="s">
        <v>188</v>
      </c>
      <c r="C90" s="179" t="s">
        <v>11</v>
      </c>
      <c r="D90" s="100">
        <v>25</v>
      </c>
      <c r="E90" s="101">
        <v>14</v>
      </c>
      <c r="F90" s="123">
        <v>1</v>
      </c>
      <c r="G90" s="102"/>
      <c r="H90" s="100">
        <v>24</v>
      </c>
      <c r="I90" s="101">
        <v>14</v>
      </c>
      <c r="J90" s="123">
        <v>1</v>
      </c>
      <c r="K90" s="102"/>
      <c r="L90" s="100">
        <f>23+20</f>
        <v>43</v>
      </c>
      <c r="M90" s="101">
        <f>5+10</f>
        <v>15</v>
      </c>
      <c r="N90" s="123">
        <v>2</v>
      </c>
      <c r="O90" s="102"/>
      <c r="P90" s="100">
        <f>24+23+12</f>
        <v>59</v>
      </c>
      <c r="Q90" s="101">
        <f>15+13+7</f>
        <v>35</v>
      </c>
      <c r="R90" s="123">
        <v>3</v>
      </c>
      <c r="S90" s="102"/>
      <c r="T90" s="100">
        <f>21+22+13</f>
        <v>56</v>
      </c>
      <c r="U90" s="101">
        <f>10+13+5</f>
        <v>28</v>
      </c>
      <c r="V90" s="123">
        <v>3</v>
      </c>
      <c r="W90" s="102"/>
      <c r="X90" s="100">
        <v>50</v>
      </c>
      <c r="Y90" s="101">
        <v>28</v>
      </c>
      <c r="Z90" s="123">
        <v>2</v>
      </c>
      <c r="AA90" s="102" t="s">
        <v>15</v>
      </c>
      <c r="AB90" s="103">
        <v>0</v>
      </c>
      <c r="AC90" s="103">
        <v>0</v>
      </c>
      <c r="AD90" s="103">
        <v>0</v>
      </c>
      <c r="AE90" s="104">
        <f>5+4+9+3+1+5+6+2+2+2+3+8</f>
        <v>50</v>
      </c>
      <c r="AF90" s="103">
        <f>2+1+3+2+2+1+1+2+3</f>
        <v>17</v>
      </c>
      <c r="AG90" s="103">
        <v>3</v>
      </c>
      <c r="AH90" s="100">
        <f t="shared" si="12"/>
        <v>307</v>
      </c>
      <c r="AI90" s="101">
        <f t="shared" si="12"/>
        <v>151</v>
      </c>
      <c r="AJ90" s="100">
        <v>90</v>
      </c>
      <c r="AK90" s="101">
        <v>34</v>
      </c>
      <c r="AL90" s="197">
        <f>F90+J90+N90+R90+V90+Z90+AD90+AG90</f>
        <v>15</v>
      </c>
    </row>
    <row r="91" spans="1:40" ht="30.6" x14ac:dyDescent="0.25">
      <c r="A91" s="169">
        <v>5</v>
      </c>
      <c r="B91" s="101" t="s">
        <v>188</v>
      </c>
      <c r="C91" s="179" t="s">
        <v>192</v>
      </c>
      <c r="D91" s="100">
        <v>40</v>
      </c>
      <c r="E91" s="101">
        <v>20</v>
      </c>
      <c r="F91" s="123">
        <v>2</v>
      </c>
      <c r="G91" s="102"/>
      <c r="H91" s="100">
        <v>36</v>
      </c>
      <c r="I91" s="101">
        <v>14</v>
      </c>
      <c r="J91" s="123">
        <v>2</v>
      </c>
      <c r="K91" s="102"/>
      <c r="L91" s="100">
        <v>43</v>
      </c>
      <c r="M91" s="101">
        <v>20</v>
      </c>
      <c r="N91" s="123">
        <v>2</v>
      </c>
      <c r="O91" s="102"/>
      <c r="P91" s="100">
        <v>65</v>
      </c>
      <c r="Q91" s="101">
        <v>23</v>
      </c>
      <c r="R91" s="123">
        <v>3</v>
      </c>
      <c r="S91" s="102"/>
      <c r="T91" s="100">
        <v>58</v>
      </c>
      <c r="U91" s="101">
        <v>27</v>
      </c>
      <c r="V91" s="123">
        <v>2</v>
      </c>
      <c r="W91" s="102"/>
      <c r="X91" s="100">
        <v>42</v>
      </c>
      <c r="Y91" s="101">
        <v>16</v>
      </c>
      <c r="Z91" s="123">
        <v>2</v>
      </c>
      <c r="AA91" s="199"/>
      <c r="AB91" s="103">
        <v>0</v>
      </c>
      <c r="AC91" s="103">
        <v>0</v>
      </c>
      <c r="AD91" s="103">
        <v>0</v>
      </c>
      <c r="AE91" s="212" t="s">
        <v>17</v>
      </c>
      <c r="AF91" s="213"/>
      <c r="AG91" s="214"/>
      <c r="AH91" s="200">
        <f>D91+H91+L91+P91+T91+X91+AB91</f>
        <v>284</v>
      </c>
      <c r="AI91" s="101">
        <f>E91+I91+M91+Q91+U91+Y91+AC91+AF91</f>
        <v>120</v>
      </c>
      <c r="AJ91" s="100">
        <v>108</v>
      </c>
      <c r="AK91" s="101">
        <v>43</v>
      </c>
      <c r="AL91" s="197">
        <f>F91+J91+N91+R91+V91+Z91+AD91+AG91</f>
        <v>13</v>
      </c>
    </row>
    <row r="92" spans="1:40" ht="28.8" thickBot="1" x14ac:dyDescent="0.3">
      <c r="A92" s="169">
        <v>6</v>
      </c>
      <c r="B92" s="183" t="s">
        <v>188</v>
      </c>
      <c r="C92" s="179" t="s">
        <v>176</v>
      </c>
      <c r="D92" s="100">
        <v>40</v>
      </c>
      <c r="E92" s="101">
        <v>24</v>
      </c>
      <c r="F92" s="184">
        <v>2</v>
      </c>
      <c r="G92" s="185"/>
      <c r="H92" s="186">
        <v>37</v>
      </c>
      <c r="I92" s="183">
        <v>14</v>
      </c>
      <c r="J92" s="184">
        <v>2</v>
      </c>
      <c r="K92" s="185"/>
      <c r="L92" s="100">
        <v>49</v>
      </c>
      <c r="M92" s="101">
        <v>22</v>
      </c>
      <c r="N92" s="123">
        <v>2</v>
      </c>
      <c r="O92" s="102"/>
      <c r="P92" s="100">
        <v>49</v>
      </c>
      <c r="Q92" s="101">
        <v>21</v>
      </c>
      <c r="R92" s="123">
        <v>2</v>
      </c>
      <c r="S92" s="102"/>
      <c r="T92" s="100">
        <v>56</v>
      </c>
      <c r="U92" s="101">
        <v>20</v>
      </c>
      <c r="V92" s="123">
        <v>2</v>
      </c>
      <c r="W92" s="102"/>
      <c r="X92" s="100">
        <v>32</v>
      </c>
      <c r="Y92" s="101">
        <v>14</v>
      </c>
      <c r="Z92" s="123">
        <v>1</v>
      </c>
      <c r="AA92" s="124"/>
      <c r="AB92" s="100">
        <v>18</v>
      </c>
      <c r="AC92" s="101">
        <v>8</v>
      </c>
      <c r="AD92" s="101">
        <v>1</v>
      </c>
      <c r="AE92" s="103">
        <v>0</v>
      </c>
      <c r="AF92" s="103">
        <v>0</v>
      </c>
      <c r="AG92" s="103">
        <v>0</v>
      </c>
      <c r="AH92" s="100">
        <f>D92+H92+L92+P92+T92+X92+AB92+AE92</f>
        <v>281</v>
      </c>
      <c r="AI92" s="101">
        <f>E92+I92+M92+Q92+U92+Y92+AC92+AF92</f>
        <v>123</v>
      </c>
      <c r="AJ92" s="100">
        <v>72</v>
      </c>
      <c r="AK92" s="101">
        <v>31</v>
      </c>
      <c r="AL92" s="197">
        <f>F92+J92+N92+R92+V92+Z92+AD92+AG92</f>
        <v>12</v>
      </c>
    </row>
    <row r="93" spans="1:40" s="198" customFormat="1" ht="16.2" thickBot="1" x14ac:dyDescent="0.3">
      <c r="A93" s="187"/>
      <c r="B93" s="188" t="s">
        <v>188</v>
      </c>
      <c r="C93" s="189" t="s">
        <v>31</v>
      </c>
      <c r="D93" s="121">
        <f>SUM(D87:D92)</f>
        <v>132</v>
      </c>
      <c r="E93" s="121">
        <f>SUM(E87:E92)</f>
        <v>68</v>
      </c>
      <c r="F93" s="220">
        <f>SUM(F87:F92)</f>
        <v>6</v>
      </c>
      <c r="G93" s="221"/>
      <c r="H93" s="190">
        <f>SUM(H87:H92)</f>
        <v>132</v>
      </c>
      <c r="I93" s="190">
        <f>SUM(I87:I92)</f>
        <v>61</v>
      </c>
      <c r="J93" s="220">
        <f>SUM(J87:J92)</f>
        <v>6</v>
      </c>
      <c r="K93" s="221"/>
      <c r="L93" s="121">
        <f>SUM(L87:L92)</f>
        <v>181</v>
      </c>
      <c r="M93" s="121">
        <f>SUM(M87:M92)</f>
        <v>71</v>
      </c>
      <c r="N93" s="222">
        <f>SUM(N87:N92)</f>
        <v>8</v>
      </c>
      <c r="O93" s="223"/>
      <c r="P93" s="121">
        <f>SUM(P87:P92)</f>
        <v>275</v>
      </c>
      <c r="Q93" s="121">
        <f>SUM(Q87:Q92)</f>
        <v>120</v>
      </c>
      <c r="R93" s="222">
        <f>SUM(R87:R92)</f>
        <v>14</v>
      </c>
      <c r="S93" s="223"/>
      <c r="T93" s="121">
        <f>SUM(T87:T92)</f>
        <v>262</v>
      </c>
      <c r="U93" s="121">
        <f>SUM(U87:U92)</f>
        <v>119</v>
      </c>
      <c r="V93" s="222">
        <f>SUM(V87:V92)</f>
        <v>11</v>
      </c>
      <c r="W93" s="223"/>
      <c r="X93" s="121">
        <f>SUM(X87:X92)</f>
        <v>241</v>
      </c>
      <c r="Y93" s="121">
        <f>SUM(Y87:Y92)</f>
        <v>119</v>
      </c>
      <c r="Z93" s="222">
        <f>SUM(Z87:Z92)</f>
        <v>11</v>
      </c>
      <c r="AA93" s="223"/>
      <c r="AB93" s="121">
        <f t="shared" ref="AB93:AK93" si="13">SUM(AB87:AB92)</f>
        <v>65</v>
      </c>
      <c r="AC93" s="121">
        <f t="shared" si="13"/>
        <v>25</v>
      </c>
      <c r="AD93" s="121">
        <f t="shared" si="13"/>
        <v>3</v>
      </c>
      <c r="AE93" s="121">
        <f t="shared" si="13"/>
        <v>143</v>
      </c>
      <c r="AF93" s="121">
        <f t="shared" si="13"/>
        <v>58</v>
      </c>
      <c r="AG93" s="121">
        <f t="shared" si="13"/>
        <v>10</v>
      </c>
      <c r="AH93" s="121">
        <f t="shared" si="13"/>
        <v>1431</v>
      </c>
      <c r="AI93" s="121">
        <f t="shared" si="13"/>
        <v>641</v>
      </c>
      <c r="AJ93" s="121">
        <f t="shared" si="13"/>
        <v>572</v>
      </c>
      <c r="AK93" s="121">
        <f t="shared" si="13"/>
        <v>245</v>
      </c>
      <c r="AL93" s="191">
        <f>F93+J93+N93+R93+V93+Z93+AD93+AG93</f>
        <v>69</v>
      </c>
    </row>
    <row r="94" spans="1:40" ht="17.399999999999999" x14ac:dyDescent="0.25">
      <c r="A94" s="128" t="s">
        <v>189</v>
      </c>
      <c r="B94" s="107"/>
      <c r="C94" s="107"/>
      <c r="AJ94" s="127"/>
      <c r="AL94" s="107"/>
    </row>
    <row r="95" spans="1:40" ht="17.399999999999999" x14ac:dyDescent="0.25">
      <c r="A95" s="128" t="s">
        <v>190</v>
      </c>
      <c r="B95" s="107"/>
      <c r="C95" s="107"/>
      <c r="AJ95" s="127"/>
      <c r="AL95" s="107"/>
    </row>
    <row r="96" spans="1:40" ht="17.399999999999999" x14ac:dyDescent="0.25">
      <c r="A96" s="128" t="s">
        <v>191</v>
      </c>
      <c r="B96" s="107"/>
      <c r="C96" s="107"/>
      <c r="AJ96" s="127"/>
      <c r="AL96" s="107"/>
    </row>
    <row r="97" spans="1:41" ht="17.399999999999999" x14ac:dyDescent="0.25">
      <c r="A97" s="107" t="s">
        <v>193</v>
      </c>
    </row>
    <row r="98" spans="1:41" ht="30.6" x14ac:dyDescent="0.25">
      <c r="A98" s="101">
        <v>1</v>
      </c>
      <c r="B98" s="101" t="s">
        <v>194</v>
      </c>
      <c r="C98" s="179" t="s">
        <v>165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100">
        <v>94</v>
      </c>
      <c r="U98" s="101">
        <v>35</v>
      </c>
      <c r="V98" s="123">
        <v>5</v>
      </c>
      <c r="W98" s="102" t="s">
        <v>16</v>
      </c>
      <c r="X98" s="100">
        <f>14+16</f>
        <v>30</v>
      </c>
      <c r="Y98" s="101">
        <f>5+8</f>
        <v>13</v>
      </c>
      <c r="Z98" s="123">
        <v>2</v>
      </c>
      <c r="AA98" s="124"/>
      <c r="AB98" s="100">
        <v>20</v>
      </c>
      <c r="AC98" s="101">
        <v>10</v>
      </c>
      <c r="AD98" s="101">
        <v>1</v>
      </c>
      <c r="AE98" s="100"/>
      <c r="AF98" s="101"/>
      <c r="AG98" s="101"/>
      <c r="AH98" s="100">
        <f>T98+X98+AB98+AE98</f>
        <v>144</v>
      </c>
      <c r="AI98" s="101">
        <f>E98+I98+M98+Q98+U98+Y98+AC98+AF98</f>
        <v>58</v>
      </c>
      <c r="AJ98" s="100">
        <v>93</v>
      </c>
      <c r="AK98" s="101">
        <v>37</v>
      </c>
      <c r="AL98" s="201">
        <f>F98+J98+N98+R98+V98+Z98+AD98+AG98</f>
        <v>8</v>
      </c>
    </row>
    <row r="99" spans="1:41" ht="28.2" x14ac:dyDescent="0.25">
      <c r="A99" s="101">
        <v>2</v>
      </c>
      <c r="B99" s="101" t="s">
        <v>194</v>
      </c>
      <c r="C99" s="179" t="s">
        <v>175</v>
      </c>
      <c r="D99" s="100">
        <v>26</v>
      </c>
      <c r="E99" s="101">
        <v>10</v>
      </c>
      <c r="F99" s="210">
        <v>1</v>
      </c>
      <c r="G99" s="211"/>
      <c r="H99" s="100">
        <v>29</v>
      </c>
      <c r="I99" s="101">
        <v>11</v>
      </c>
      <c r="J99" s="210">
        <v>2</v>
      </c>
      <c r="K99" s="211"/>
      <c r="L99" s="100">
        <v>35</v>
      </c>
      <c r="M99" s="101">
        <v>18</v>
      </c>
      <c r="N99" s="210">
        <v>2</v>
      </c>
      <c r="O99" s="211"/>
      <c r="P99" s="100">
        <v>44</v>
      </c>
      <c r="Q99" s="101">
        <v>15</v>
      </c>
      <c r="R99" s="210">
        <v>2</v>
      </c>
      <c r="S99" s="211"/>
      <c r="T99" s="100">
        <v>54</v>
      </c>
      <c r="U99" s="101">
        <v>22</v>
      </c>
      <c r="V99" s="210">
        <v>2</v>
      </c>
      <c r="W99" s="211"/>
      <c r="X99" s="100">
        <v>17</v>
      </c>
      <c r="Y99" s="101">
        <v>10</v>
      </c>
      <c r="Z99" s="123">
        <v>1</v>
      </c>
      <c r="AA99" s="102"/>
      <c r="AB99" s="103">
        <v>20</v>
      </c>
      <c r="AC99" s="103">
        <v>12</v>
      </c>
      <c r="AD99" s="103">
        <v>1</v>
      </c>
      <c r="AE99" s="103">
        <v>0</v>
      </c>
      <c r="AF99" s="103">
        <v>0</v>
      </c>
      <c r="AG99" s="103">
        <v>0</v>
      </c>
      <c r="AH99" s="100">
        <f>D99+H99+L99+P99+T99+X99+AB99+AE99</f>
        <v>225</v>
      </c>
      <c r="AI99" s="101">
        <f>E99+I99+M99+Q99+U99+Y99+AC99+AF99</f>
        <v>98</v>
      </c>
      <c r="AJ99" s="100">
        <v>107</v>
      </c>
      <c r="AK99" s="101">
        <v>44</v>
      </c>
      <c r="AL99" s="105">
        <f>F99+J99+N99+R99+V99+Z99+AD99+AG99</f>
        <v>11</v>
      </c>
    </row>
    <row r="100" spans="1:41" ht="17.399999999999999" x14ac:dyDescent="0.25">
      <c r="A100" s="101">
        <v>3</v>
      </c>
      <c r="B100" s="101" t="s">
        <v>194</v>
      </c>
      <c r="C100" s="179" t="s">
        <v>11</v>
      </c>
      <c r="D100" s="100">
        <v>25</v>
      </c>
      <c r="E100" s="101">
        <v>15</v>
      </c>
      <c r="F100" s="210">
        <v>1</v>
      </c>
      <c r="G100" s="211"/>
      <c r="H100" s="100">
        <v>28</v>
      </c>
      <c r="I100" s="101">
        <v>13</v>
      </c>
      <c r="J100" s="210">
        <v>1</v>
      </c>
      <c r="K100" s="211"/>
      <c r="L100" s="100">
        <v>52</v>
      </c>
      <c r="M100" s="101">
        <v>22</v>
      </c>
      <c r="N100" s="210">
        <v>2</v>
      </c>
      <c r="O100" s="211"/>
      <c r="P100" s="100">
        <v>68</v>
      </c>
      <c r="Q100" s="101">
        <v>23</v>
      </c>
      <c r="R100" s="210">
        <v>3</v>
      </c>
      <c r="S100" s="211"/>
      <c r="T100" s="100">
        <v>76</v>
      </c>
      <c r="U100" s="101">
        <v>37</v>
      </c>
      <c r="V100" s="210">
        <v>4</v>
      </c>
      <c r="W100" s="211"/>
      <c r="X100" s="100">
        <v>52</v>
      </c>
      <c r="Y100" s="101">
        <v>26</v>
      </c>
      <c r="Z100" s="123">
        <v>2</v>
      </c>
      <c r="AA100" s="102" t="s">
        <v>15</v>
      </c>
      <c r="AB100" s="103">
        <v>0</v>
      </c>
      <c r="AC100" s="103">
        <v>0</v>
      </c>
      <c r="AD100" s="103">
        <v>0</v>
      </c>
      <c r="AE100" s="104"/>
      <c r="AF100" s="103"/>
      <c r="AG100" s="103"/>
      <c r="AH100" s="100">
        <f>D100+H100+L100+P100+T100+X100+AB100+AE100</f>
        <v>301</v>
      </c>
      <c r="AI100" s="101">
        <f>E100+I100+M100+Q100+U100+Y100+AC100+AF100</f>
        <v>136</v>
      </c>
      <c r="AJ100" s="100">
        <v>91</v>
      </c>
      <c r="AK100" s="101">
        <v>31</v>
      </c>
      <c r="AL100" s="105">
        <f>F100+J100+N100+R100+V100+Z100+AD100+AG100</f>
        <v>13</v>
      </c>
    </row>
    <row r="101" spans="1:41" ht="30.6" x14ac:dyDescent="0.25">
      <c r="A101" s="101">
        <v>4</v>
      </c>
      <c r="B101" s="101" t="s">
        <v>194</v>
      </c>
      <c r="C101" s="179" t="s">
        <v>192</v>
      </c>
      <c r="D101" s="100">
        <v>21</v>
      </c>
      <c r="E101" s="101">
        <v>9</v>
      </c>
      <c r="F101" s="210">
        <v>1</v>
      </c>
      <c r="G101" s="211"/>
      <c r="H101" s="100">
        <v>45</v>
      </c>
      <c r="I101" s="101">
        <v>20</v>
      </c>
      <c r="J101" s="210">
        <v>2</v>
      </c>
      <c r="K101" s="211"/>
      <c r="L101" s="123">
        <v>40</v>
      </c>
      <c r="M101" s="101">
        <v>17</v>
      </c>
      <c r="N101" s="210">
        <v>2</v>
      </c>
      <c r="O101" s="211"/>
      <c r="P101" s="100">
        <v>59</v>
      </c>
      <c r="Q101" s="101">
        <v>28</v>
      </c>
      <c r="R101" s="210">
        <v>3</v>
      </c>
      <c r="S101" s="211"/>
      <c r="T101" s="100">
        <v>68</v>
      </c>
      <c r="U101" s="101">
        <v>20</v>
      </c>
      <c r="V101" s="210">
        <v>3</v>
      </c>
      <c r="W101" s="211"/>
      <c r="X101" s="100">
        <v>35</v>
      </c>
      <c r="Y101" s="101">
        <v>18</v>
      </c>
      <c r="Z101" s="123">
        <v>2</v>
      </c>
      <c r="AA101" s="102" t="s">
        <v>15</v>
      </c>
      <c r="AB101" s="103">
        <v>0</v>
      </c>
      <c r="AC101" s="103">
        <v>0</v>
      </c>
      <c r="AD101" s="103">
        <v>0</v>
      </c>
      <c r="AE101" s="237"/>
      <c r="AF101" s="237"/>
      <c r="AG101" s="237"/>
      <c r="AH101" s="100">
        <f>D101+H101+L101+P101+T101+X101+AB101+AE101</f>
        <v>268</v>
      </c>
      <c r="AI101" s="101">
        <f>E101+I101+M101+Q101+U101+Y101+AC101+AF101</f>
        <v>112</v>
      </c>
      <c r="AJ101" s="100">
        <v>97</v>
      </c>
      <c r="AK101" s="101">
        <v>37</v>
      </c>
      <c r="AL101" s="105">
        <f>F101+J101+N101+R101+V101+Z101+AD101+AG101</f>
        <v>13</v>
      </c>
    </row>
    <row r="102" spans="1:41" ht="28.2" x14ac:dyDescent="0.25">
      <c r="A102" s="101">
        <v>5</v>
      </c>
      <c r="B102" s="101" t="s">
        <v>194</v>
      </c>
      <c r="C102" s="179" t="s">
        <v>176</v>
      </c>
      <c r="D102" s="100">
        <v>36</v>
      </c>
      <c r="E102" s="101">
        <v>20</v>
      </c>
      <c r="F102" s="210">
        <v>2</v>
      </c>
      <c r="G102" s="211"/>
      <c r="H102" s="100">
        <v>41</v>
      </c>
      <c r="I102" s="101">
        <v>26</v>
      </c>
      <c r="J102" s="210">
        <v>2</v>
      </c>
      <c r="K102" s="211"/>
      <c r="L102" s="100">
        <v>43</v>
      </c>
      <c r="M102" s="101">
        <v>17</v>
      </c>
      <c r="N102" s="210">
        <v>2</v>
      </c>
      <c r="O102" s="211"/>
      <c r="P102" s="100">
        <v>52</v>
      </c>
      <c r="Q102" s="101">
        <v>21</v>
      </c>
      <c r="R102" s="210">
        <v>2</v>
      </c>
      <c r="S102" s="211"/>
      <c r="T102" s="100">
        <v>51</v>
      </c>
      <c r="U102" s="101">
        <v>24</v>
      </c>
      <c r="V102" s="210">
        <v>2</v>
      </c>
      <c r="W102" s="211"/>
      <c r="X102" s="100">
        <v>36</v>
      </c>
      <c r="Y102" s="101">
        <v>15</v>
      </c>
      <c r="Z102" s="123">
        <v>2</v>
      </c>
      <c r="AA102" s="124"/>
      <c r="AB102" s="100">
        <v>20</v>
      </c>
      <c r="AC102" s="101">
        <v>6</v>
      </c>
      <c r="AD102" s="101">
        <v>1</v>
      </c>
      <c r="AE102" s="103">
        <v>0</v>
      </c>
      <c r="AF102" s="103">
        <v>0</v>
      </c>
      <c r="AG102" s="103">
        <v>0</v>
      </c>
      <c r="AH102" s="100">
        <f>D102+H102+L102+P102+T102+X102+AB102+AE102</f>
        <v>279</v>
      </c>
      <c r="AI102" s="101">
        <f>E102+I102+M102+Q102+U102+Y102+AC102+AF102</f>
        <v>129</v>
      </c>
      <c r="AJ102" s="100">
        <v>81</v>
      </c>
      <c r="AK102" s="101">
        <v>37</v>
      </c>
      <c r="AL102" s="105">
        <f>F102+J102+N102+R102+V102+Z102+AD102+AG102</f>
        <v>13</v>
      </c>
    </row>
    <row r="103" spans="1:41" s="198" customFormat="1" ht="15.6" x14ac:dyDescent="0.25">
      <c r="A103" s="101"/>
      <c r="B103" s="100" t="s">
        <v>194</v>
      </c>
      <c r="C103" s="202" t="s">
        <v>31</v>
      </c>
      <c r="D103" s="122">
        <f>SUM(D98:D102)</f>
        <v>108</v>
      </c>
      <c r="E103" s="122">
        <f>SUM(E98:E102)</f>
        <v>54</v>
      </c>
      <c r="F103" s="208">
        <f>SUM(F98:F102)</f>
        <v>5</v>
      </c>
      <c r="G103" s="208"/>
      <c r="H103" s="122">
        <f>SUM(H98:H102)</f>
        <v>143</v>
      </c>
      <c r="I103" s="122">
        <f>SUM(I98:I102)</f>
        <v>70</v>
      </c>
      <c r="J103" s="208">
        <f>SUM(J98:J102)</f>
        <v>7</v>
      </c>
      <c r="K103" s="208"/>
      <c r="L103" s="122">
        <f>SUM(L98:L102)</f>
        <v>170</v>
      </c>
      <c r="M103" s="122">
        <f>SUM(M98:M102)</f>
        <v>74</v>
      </c>
      <c r="N103" s="209">
        <f>SUM(N98:N102)</f>
        <v>8</v>
      </c>
      <c r="O103" s="209"/>
      <c r="P103" s="122">
        <f>SUM(P98:P102)</f>
        <v>223</v>
      </c>
      <c r="Q103" s="122">
        <f>SUM(Q98:Q102)</f>
        <v>87</v>
      </c>
      <c r="R103" s="209">
        <f>SUM(R98:R102)</f>
        <v>10</v>
      </c>
      <c r="S103" s="209"/>
      <c r="T103" s="122">
        <f>SUM(T98:T102)</f>
        <v>343</v>
      </c>
      <c r="U103" s="122">
        <f>SUM(U98:U102)</f>
        <v>138</v>
      </c>
      <c r="V103" s="209">
        <f>SUM(V98:V102)</f>
        <v>16</v>
      </c>
      <c r="W103" s="209"/>
      <c r="X103" s="122">
        <f>SUM(X98:X102)</f>
        <v>170</v>
      </c>
      <c r="Y103" s="122">
        <f>SUM(Y98:Y102)</f>
        <v>82</v>
      </c>
      <c r="Z103" s="209">
        <f>SUM(Z98:Z102)</f>
        <v>9</v>
      </c>
      <c r="AA103" s="209"/>
      <c r="AB103" s="122">
        <f t="shared" ref="AB103:AK103" si="14">SUM(AB98:AB102)</f>
        <v>60</v>
      </c>
      <c r="AC103" s="122">
        <f t="shared" si="14"/>
        <v>28</v>
      </c>
      <c r="AD103" s="122">
        <f t="shared" si="14"/>
        <v>3</v>
      </c>
      <c r="AE103" s="122">
        <f t="shared" si="14"/>
        <v>0</v>
      </c>
      <c r="AF103" s="122">
        <f t="shared" si="14"/>
        <v>0</v>
      </c>
      <c r="AG103" s="122">
        <f t="shared" si="14"/>
        <v>0</v>
      </c>
      <c r="AH103" s="122">
        <f t="shared" si="14"/>
        <v>1217</v>
      </c>
      <c r="AI103" s="122">
        <f t="shared" si="14"/>
        <v>533</v>
      </c>
      <c r="AJ103" s="122">
        <f t="shared" si="14"/>
        <v>469</v>
      </c>
      <c r="AK103" s="122">
        <f t="shared" si="14"/>
        <v>186</v>
      </c>
      <c r="AL103" s="100">
        <f>F103+J103+N103+R103+V103+Z103+AD103+AG103</f>
        <v>58</v>
      </c>
    </row>
    <row r="104" spans="1:41" ht="16.2" x14ac:dyDescent="0.25">
      <c r="B104" s="107" t="s">
        <v>194</v>
      </c>
      <c r="C104" s="203" t="s">
        <v>196</v>
      </c>
    </row>
    <row r="105" spans="1:41" ht="16.2" x14ac:dyDescent="0.25">
      <c r="B105" s="107" t="s">
        <v>194</v>
      </c>
      <c r="C105" s="203" t="s">
        <v>197</v>
      </c>
    </row>
    <row r="106" spans="1:41" ht="16.2" x14ac:dyDescent="0.25">
      <c r="B106" s="107" t="s">
        <v>194</v>
      </c>
      <c r="C106" s="204" t="s">
        <v>198</v>
      </c>
      <c r="D106" s="127"/>
      <c r="E106" s="128"/>
      <c r="AL106" s="107"/>
      <c r="AN106" s="127"/>
    </row>
    <row r="107" spans="1:41" ht="16.2" x14ac:dyDescent="0.25">
      <c r="B107" s="107" t="s">
        <v>194</v>
      </c>
      <c r="C107" s="108" t="s">
        <v>199</v>
      </c>
      <c r="D107" s="127"/>
      <c r="E107" s="128"/>
      <c r="AL107" s="107"/>
      <c r="AN107" s="127"/>
    </row>
    <row r="108" spans="1:41" ht="31.2" x14ac:dyDescent="0.25">
      <c r="A108" s="101">
        <v>1</v>
      </c>
      <c r="B108" s="101" t="s">
        <v>200</v>
      </c>
      <c r="C108" s="179" t="s">
        <v>208</v>
      </c>
      <c r="D108" s="217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100">
        <v>32</v>
      </c>
      <c r="Y108" s="101">
        <v>14</v>
      </c>
      <c r="Z108" s="123">
        <v>2</v>
      </c>
      <c r="AA108" s="124"/>
      <c r="AB108" s="100">
        <v>18</v>
      </c>
      <c r="AC108" s="101">
        <v>7</v>
      </c>
      <c r="AD108" s="101">
        <v>1</v>
      </c>
      <c r="AE108" s="100">
        <v>13</v>
      </c>
      <c r="AF108" s="101">
        <v>5</v>
      </c>
      <c r="AG108" s="101">
        <v>1</v>
      </c>
      <c r="AH108" s="100">
        <f>T108+X108+AB108+AE108</f>
        <v>63</v>
      </c>
      <c r="AI108" s="101">
        <f>E108+I108+M108+Q108+U108+Y108+AC108+AF108</f>
        <v>26</v>
      </c>
      <c r="AJ108" s="100">
        <v>37</v>
      </c>
      <c r="AK108" s="101">
        <v>13</v>
      </c>
      <c r="AL108" s="201">
        <f>F108+J108+N108+R108+V108+Z108+AD108+AG108</f>
        <v>4</v>
      </c>
      <c r="AO108" s="205"/>
    </row>
    <row r="109" spans="1:41" ht="28.8" x14ac:dyDescent="0.25">
      <c r="A109" s="101">
        <v>2</v>
      </c>
      <c r="B109" s="101" t="s">
        <v>200</v>
      </c>
      <c r="C109" s="179" t="s">
        <v>206</v>
      </c>
      <c r="D109" s="100">
        <v>27</v>
      </c>
      <c r="E109" s="101">
        <v>15</v>
      </c>
      <c r="F109" s="210">
        <v>2</v>
      </c>
      <c r="G109" s="211"/>
      <c r="H109" s="100">
        <v>32</v>
      </c>
      <c r="I109" s="101">
        <v>13</v>
      </c>
      <c r="J109" s="210">
        <v>2</v>
      </c>
      <c r="K109" s="211"/>
      <c r="L109" s="100">
        <v>55</v>
      </c>
      <c r="M109" s="101">
        <v>24</v>
      </c>
      <c r="N109" s="210">
        <v>3</v>
      </c>
      <c r="O109" s="211"/>
      <c r="P109" s="100">
        <v>29</v>
      </c>
      <c r="Q109" s="101">
        <v>15</v>
      </c>
      <c r="R109" s="210">
        <v>2</v>
      </c>
      <c r="S109" s="211"/>
      <c r="T109" s="100">
        <v>47</v>
      </c>
      <c r="U109" s="101">
        <v>16</v>
      </c>
      <c r="V109" s="210">
        <v>2</v>
      </c>
      <c r="W109" s="211"/>
      <c r="X109" s="100">
        <v>22</v>
      </c>
      <c r="Y109" s="101">
        <v>9</v>
      </c>
      <c r="Z109" s="123">
        <v>1</v>
      </c>
      <c r="AA109" s="102" t="s">
        <v>201</v>
      </c>
      <c r="AB109" s="104">
        <v>19</v>
      </c>
      <c r="AC109" s="103">
        <v>8</v>
      </c>
      <c r="AD109" s="103">
        <v>1</v>
      </c>
      <c r="AE109" s="103">
        <v>0</v>
      </c>
      <c r="AF109" s="103">
        <v>0</v>
      </c>
      <c r="AG109" s="103">
        <v>0</v>
      </c>
      <c r="AH109" s="100">
        <f>D109+H109+L109+P109+T109+X109+AB109+AE109</f>
        <v>231</v>
      </c>
      <c r="AI109" s="101">
        <f>E109+I109+M109+Q109+U109+Y109+AC109+AF109</f>
        <v>100</v>
      </c>
      <c r="AJ109" s="100">
        <v>120</v>
      </c>
      <c r="AK109" s="101">
        <v>55</v>
      </c>
      <c r="AL109" s="105">
        <f>F109+J109+N109+R109+V109+Z109+AD109+AG109</f>
        <v>13</v>
      </c>
      <c r="AO109" s="205"/>
    </row>
    <row r="110" spans="1:41" ht="17.399999999999999" x14ac:dyDescent="0.25">
      <c r="A110" s="101">
        <v>3</v>
      </c>
      <c r="B110" s="101" t="s">
        <v>200</v>
      </c>
      <c r="C110" s="179" t="s">
        <v>11</v>
      </c>
      <c r="D110" s="100">
        <v>27</v>
      </c>
      <c r="E110" s="101">
        <v>13</v>
      </c>
      <c r="F110" s="210">
        <v>1</v>
      </c>
      <c r="G110" s="211"/>
      <c r="H110" s="100">
        <v>34</v>
      </c>
      <c r="I110" s="101">
        <v>19</v>
      </c>
      <c r="J110" s="210">
        <v>2</v>
      </c>
      <c r="K110" s="211"/>
      <c r="L110" s="100">
        <v>44</v>
      </c>
      <c r="M110" s="101">
        <v>21</v>
      </c>
      <c r="N110" s="210">
        <v>2</v>
      </c>
      <c r="O110" s="211"/>
      <c r="P110" s="100">
        <v>57</v>
      </c>
      <c r="Q110" s="101">
        <v>24</v>
      </c>
      <c r="R110" s="210">
        <v>2</v>
      </c>
      <c r="S110" s="211"/>
      <c r="T110" s="100">
        <v>88</v>
      </c>
      <c r="U110" s="101">
        <v>35</v>
      </c>
      <c r="V110" s="210">
        <v>4</v>
      </c>
      <c r="W110" s="211"/>
      <c r="X110" s="100">
        <v>21</v>
      </c>
      <c r="Y110" s="101">
        <v>10</v>
      </c>
      <c r="Z110" s="123">
        <v>1</v>
      </c>
      <c r="AA110" s="102" t="s">
        <v>202</v>
      </c>
      <c r="AB110" s="103">
        <v>22</v>
      </c>
      <c r="AC110" s="103">
        <v>9</v>
      </c>
      <c r="AD110" s="103">
        <v>1</v>
      </c>
      <c r="AE110" s="103">
        <v>0</v>
      </c>
      <c r="AF110" s="103">
        <v>0</v>
      </c>
      <c r="AG110" s="103">
        <v>0</v>
      </c>
      <c r="AH110" s="100">
        <f>D110+H110+L110+P110+T110+X110+AB110+AE110</f>
        <v>293</v>
      </c>
      <c r="AI110" s="101">
        <f>E110+I110+M110+Q110+U110+Y110+AC110+AF110</f>
        <v>131</v>
      </c>
      <c r="AJ110" s="100">
        <v>113</v>
      </c>
      <c r="AK110" s="101">
        <v>46</v>
      </c>
      <c r="AL110" s="105">
        <f>F110+J110+N110+R110+V110+Z110+AD110+AG110</f>
        <v>13</v>
      </c>
      <c r="AO110" s="205"/>
    </row>
    <row r="111" spans="1:41" ht="30.6" x14ac:dyDescent="0.25">
      <c r="A111" s="101">
        <v>4</v>
      </c>
      <c r="B111" s="101" t="s">
        <v>200</v>
      </c>
      <c r="C111" s="179" t="s">
        <v>205</v>
      </c>
      <c r="D111" s="100">
        <v>21</v>
      </c>
      <c r="E111" s="101">
        <v>13</v>
      </c>
      <c r="F111" s="210">
        <v>1</v>
      </c>
      <c r="G111" s="211"/>
      <c r="H111" s="100">
        <v>35</v>
      </c>
      <c r="I111" s="101">
        <v>11</v>
      </c>
      <c r="J111" s="210">
        <v>2</v>
      </c>
      <c r="K111" s="211"/>
      <c r="L111" s="106">
        <v>50</v>
      </c>
      <c r="M111" s="101">
        <v>22</v>
      </c>
      <c r="N111" s="210">
        <v>2</v>
      </c>
      <c r="O111" s="211"/>
      <c r="P111" s="100">
        <v>60</v>
      </c>
      <c r="Q111" s="101">
        <v>24</v>
      </c>
      <c r="R111" s="210">
        <v>2</v>
      </c>
      <c r="S111" s="211"/>
      <c r="T111" s="100">
        <v>68</v>
      </c>
      <c r="U111" s="101">
        <v>34</v>
      </c>
      <c r="V111" s="210">
        <v>3</v>
      </c>
      <c r="W111" s="211"/>
      <c r="X111" s="100">
        <v>48</v>
      </c>
      <c r="Y111" s="101">
        <v>13</v>
      </c>
      <c r="Z111" s="123">
        <v>2</v>
      </c>
      <c r="AA111" s="102" t="s">
        <v>16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0">
        <f>D111+H111+L111+P111+T111+X111+AB111+AE111</f>
        <v>282</v>
      </c>
      <c r="AI111" s="101">
        <f>E111+I111+M111+Q111+U111+Y111+AC111+AF111</f>
        <v>117</v>
      </c>
      <c r="AJ111" s="100">
        <v>121</v>
      </c>
      <c r="AK111" s="101">
        <v>43</v>
      </c>
      <c r="AL111" s="105">
        <f>F111+J111+N111+R111+V111+Z111+AD111+AG111</f>
        <v>12</v>
      </c>
      <c r="AO111" s="205"/>
    </row>
    <row r="112" spans="1:41" ht="28.8" x14ac:dyDescent="0.25">
      <c r="A112" s="101">
        <v>5</v>
      </c>
      <c r="B112" s="101" t="s">
        <v>200</v>
      </c>
      <c r="C112" s="179" t="s">
        <v>207</v>
      </c>
      <c r="D112" s="100">
        <v>35</v>
      </c>
      <c r="E112" s="101">
        <v>15</v>
      </c>
      <c r="F112" s="210">
        <v>2</v>
      </c>
      <c r="G112" s="211"/>
      <c r="H112" s="100">
        <v>43</v>
      </c>
      <c r="I112" s="101">
        <v>22</v>
      </c>
      <c r="J112" s="210">
        <v>2</v>
      </c>
      <c r="K112" s="211"/>
      <c r="L112" s="100">
        <v>54</v>
      </c>
      <c r="M112" s="101">
        <v>31</v>
      </c>
      <c r="N112" s="210">
        <v>2</v>
      </c>
      <c r="O112" s="211"/>
      <c r="P112" s="100">
        <v>51</v>
      </c>
      <c r="Q112" s="101">
        <v>21</v>
      </c>
      <c r="R112" s="210">
        <v>2</v>
      </c>
      <c r="S112" s="211"/>
      <c r="T112" s="100">
        <v>56</v>
      </c>
      <c r="U112" s="101">
        <v>23</v>
      </c>
      <c r="V112" s="210">
        <v>2</v>
      </c>
      <c r="W112" s="211"/>
      <c r="X112" s="100">
        <v>26</v>
      </c>
      <c r="Y112" s="101">
        <v>13</v>
      </c>
      <c r="Z112" s="123">
        <v>1</v>
      </c>
      <c r="AA112" s="124"/>
      <c r="AB112" s="100">
        <v>10</v>
      </c>
      <c r="AC112" s="101">
        <v>4</v>
      </c>
      <c r="AD112" s="101">
        <v>1</v>
      </c>
      <c r="AE112" s="103">
        <v>0</v>
      </c>
      <c r="AF112" s="103">
        <v>0</v>
      </c>
      <c r="AG112" s="103">
        <v>0</v>
      </c>
      <c r="AH112" s="100">
        <f>D112+H112+L112+P112+T112+X112+AB112+AE112</f>
        <v>275</v>
      </c>
      <c r="AI112" s="101">
        <f>E112+I112+M112+Q112+U112+Y112+AC112+AF112</f>
        <v>129</v>
      </c>
      <c r="AJ112" s="100">
        <v>80</v>
      </c>
      <c r="AK112" s="101">
        <v>34</v>
      </c>
      <c r="AL112" s="105">
        <f>F112+J112+N112+R112+V112+Z112+AD112+AG112</f>
        <v>12</v>
      </c>
      <c r="AO112" s="205"/>
    </row>
    <row r="113" spans="1:41" s="198" customFormat="1" ht="15.6" x14ac:dyDescent="0.25">
      <c r="A113" s="101"/>
      <c r="B113" s="100" t="s">
        <v>200</v>
      </c>
      <c r="C113" s="202" t="s">
        <v>31</v>
      </c>
      <c r="D113" s="122">
        <f>SUM(D108:D112)</f>
        <v>110</v>
      </c>
      <c r="E113" s="122">
        <f>SUM(E108:E112)</f>
        <v>56</v>
      </c>
      <c r="F113" s="208">
        <f>SUM(F108:F112)</f>
        <v>6</v>
      </c>
      <c r="G113" s="208"/>
      <c r="H113" s="122">
        <f>SUM(H108:H112)</f>
        <v>144</v>
      </c>
      <c r="I113" s="122">
        <f>SUM(I108:I112)</f>
        <v>65</v>
      </c>
      <c r="J113" s="208">
        <f>SUM(J108:J112)</f>
        <v>8</v>
      </c>
      <c r="K113" s="208"/>
      <c r="L113" s="122">
        <f>SUM(L108:L112)</f>
        <v>203</v>
      </c>
      <c r="M113" s="122">
        <f>SUM(M108:M112)</f>
        <v>98</v>
      </c>
      <c r="N113" s="209">
        <f>SUM(N108:N112)</f>
        <v>9</v>
      </c>
      <c r="O113" s="209"/>
      <c r="P113" s="122">
        <f>SUM(P108:P112)</f>
        <v>197</v>
      </c>
      <c r="Q113" s="122">
        <f>SUM(Q108:Q112)</f>
        <v>84</v>
      </c>
      <c r="R113" s="209">
        <f>SUM(R108:R112)</f>
        <v>8</v>
      </c>
      <c r="S113" s="209"/>
      <c r="T113" s="122">
        <f>SUM(T108:T112)</f>
        <v>259</v>
      </c>
      <c r="U113" s="122">
        <f>SUM(U108:U112)</f>
        <v>108</v>
      </c>
      <c r="V113" s="209">
        <f>SUM(V108:V112)</f>
        <v>11</v>
      </c>
      <c r="W113" s="209"/>
      <c r="X113" s="122">
        <f>SUM(X108:X112)</f>
        <v>149</v>
      </c>
      <c r="Y113" s="122">
        <f>SUM(Y108:Y112)</f>
        <v>59</v>
      </c>
      <c r="Z113" s="209">
        <f>SUM(Z108:Z112)</f>
        <v>7</v>
      </c>
      <c r="AA113" s="209"/>
      <c r="AB113" s="122">
        <f t="shared" ref="AB113:AK113" si="15">SUM(AB108:AB112)</f>
        <v>69</v>
      </c>
      <c r="AC113" s="122">
        <f t="shared" si="15"/>
        <v>28</v>
      </c>
      <c r="AD113" s="122">
        <f t="shared" si="15"/>
        <v>4</v>
      </c>
      <c r="AE113" s="122">
        <f t="shared" si="15"/>
        <v>13</v>
      </c>
      <c r="AF113" s="122">
        <f t="shared" si="15"/>
        <v>5</v>
      </c>
      <c r="AG113" s="122">
        <f t="shared" si="15"/>
        <v>1</v>
      </c>
      <c r="AH113" s="122">
        <f t="shared" si="15"/>
        <v>1144</v>
      </c>
      <c r="AI113" s="122">
        <f t="shared" si="15"/>
        <v>503</v>
      </c>
      <c r="AJ113" s="122">
        <f t="shared" si="15"/>
        <v>471</v>
      </c>
      <c r="AK113" s="122">
        <f t="shared" si="15"/>
        <v>191</v>
      </c>
      <c r="AL113" s="100">
        <f>F113+J113+N113+R113+V113+Z113+AD113+AG113</f>
        <v>54</v>
      </c>
      <c r="AO113" s="205"/>
    </row>
    <row r="114" spans="1:41" ht="16.2" x14ac:dyDescent="0.25">
      <c r="B114" s="107" t="s">
        <v>200</v>
      </c>
      <c r="C114" s="203" t="s">
        <v>196</v>
      </c>
    </row>
    <row r="115" spans="1:41" ht="16.2" x14ac:dyDescent="0.25">
      <c r="B115" s="107" t="s">
        <v>200</v>
      </c>
      <c r="C115" s="108" t="s">
        <v>203</v>
      </c>
      <c r="D115" s="127"/>
      <c r="E115" s="128"/>
      <c r="AL115" s="107"/>
      <c r="AN115" s="127"/>
    </row>
    <row r="116" spans="1:41" ht="16.2" x14ac:dyDescent="0.25">
      <c r="B116" s="107" t="s">
        <v>200</v>
      </c>
      <c r="C116" s="203" t="s">
        <v>204</v>
      </c>
    </row>
    <row r="117" spans="1:41" ht="28.8" x14ac:dyDescent="0.25">
      <c r="A117" s="101">
        <v>1</v>
      </c>
      <c r="B117" s="101" t="s">
        <v>209</v>
      </c>
      <c r="C117" s="179" t="s">
        <v>206</v>
      </c>
      <c r="D117" s="100">
        <v>33</v>
      </c>
      <c r="E117" s="101">
        <v>12</v>
      </c>
      <c r="F117" s="210">
        <v>2</v>
      </c>
      <c r="G117" s="211"/>
      <c r="H117" s="100">
        <v>30</v>
      </c>
      <c r="I117" s="101">
        <v>16</v>
      </c>
      <c r="J117" s="210">
        <v>2</v>
      </c>
      <c r="K117" s="211"/>
      <c r="L117" s="100">
        <v>29</v>
      </c>
      <c r="M117" s="101">
        <v>11</v>
      </c>
      <c r="N117" s="210">
        <v>2</v>
      </c>
      <c r="O117" s="211"/>
      <c r="P117" s="100">
        <v>44</v>
      </c>
      <c r="Q117" s="101">
        <v>14</v>
      </c>
      <c r="R117" s="210">
        <v>2</v>
      </c>
      <c r="S117" s="211"/>
      <c r="T117" s="100">
        <v>38</v>
      </c>
      <c r="U117" s="101">
        <v>20</v>
      </c>
      <c r="V117" s="210">
        <v>2</v>
      </c>
      <c r="W117" s="211"/>
      <c r="X117" s="100">
        <v>19</v>
      </c>
      <c r="Y117" s="101">
        <v>4</v>
      </c>
      <c r="Z117" s="123">
        <v>1</v>
      </c>
      <c r="AA117" s="102"/>
      <c r="AB117" s="104">
        <v>20</v>
      </c>
      <c r="AC117" s="103">
        <v>12</v>
      </c>
      <c r="AD117" s="103">
        <v>1</v>
      </c>
      <c r="AE117" s="103">
        <v>0</v>
      </c>
      <c r="AF117" s="103">
        <v>0</v>
      </c>
      <c r="AG117" s="103">
        <v>0</v>
      </c>
      <c r="AH117" s="100">
        <f t="shared" ref="AH117:AI120" si="16">D117+H117+L117+P117+T117+X117+AB117+AE117</f>
        <v>213</v>
      </c>
      <c r="AI117" s="101">
        <f t="shared" si="16"/>
        <v>89</v>
      </c>
      <c r="AJ117" s="100">
        <v>109</v>
      </c>
      <c r="AK117" s="101">
        <v>50</v>
      </c>
      <c r="AL117" s="105">
        <f>F117+J117+N117+R117+V117+Z117+AD117+AG117</f>
        <v>12</v>
      </c>
    </row>
    <row r="118" spans="1:41" ht="17.399999999999999" x14ac:dyDescent="0.25">
      <c r="A118" s="101">
        <v>2</v>
      </c>
      <c r="B118" s="101" t="s">
        <v>209</v>
      </c>
      <c r="C118" s="179" t="s">
        <v>11</v>
      </c>
      <c r="D118" s="100">
        <v>32</v>
      </c>
      <c r="E118" s="101">
        <v>12</v>
      </c>
      <c r="F118" s="210">
        <v>2</v>
      </c>
      <c r="G118" s="211"/>
      <c r="H118" s="100">
        <v>27</v>
      </c>
      <c r="I118" s="101">
        <v>13</v>
      </c>
      <c r="J118" s="210">
        <v>1</v>
      </c>
      <c r="K118" s="211"/>
      <c r="L118" s="100">
        <v>68</v>
      </c>
      <c r="M118" s="101">
        <v>33</v>
      </c>
      <c r="N118" s="210">
        <v>3</v>
      </c>
      <c r="O118" s="211"/>
      <c r="P118" s="100">
        <v>67</v>
      </c>
      <c r="Q118" s="101">
        <v>31</v>
      </c>
      <c r="R118" s="210">
        <v>3</v>
      </c>
      <c r="S118" s="211"/>
      <c r="T118" s="100">
        <v>81</v>
      </c>
      <c r="U118" s="101">
        <v>34</v>
      </c>
      <c r="V118" s="210">
        <v>4</v>
      </c>
      <c r="W118" s="211"/>
      <c r="X118" s="100">
        <v>38</v>
      </c>
      <c r="Y118" s="101">
        <v>14</v>
      </c>
      <c r="Z118" s="123">
        <v>2</v>
      </c>
      <c r="AA118" s="102" t="s">
        <v>15</v>
      </c>
      <c r="AB118" s="103">
        <v>0</v>
      </c>
      <c r="AC118" s="103">
        <v>0</v>
      </c>
      <c r="AD118" s="103">
        <v>0</v>
      </c>
      <c r="AE118" s="103">
        <v>0</v>
      </c>
      <c r="AF118" s="103">
        <v>0</v>
      </c>
      <c r="AG118" s="103">
        <v>0</v>
      </c>
      <c r="AH118" s="100">
        <f t="shared" si="16"/>
        <v>313</v>
      </c>
      <c r="AI118" s="101">
        <f t="shared" si="16"/>
        <v>137</v>
      </c>
      <c r="AJ118" s="100">
        <v>118</v>
      </c>
      <c r="AK118" s="101">
        <v>49</v>
      </c>
      <c r="AL118" s="105">
        <f>F118+J118+N118+R118+V118+Z118+AD118+AG118</f>
        <v>15</v>
      </c>
    </row>
    <row r="119" spans="1:41" ht="30.6" x14ac:dyDescent="0.25">
      <c r="A119" s="101">
        <v>3</v>
      </c>
      <c r="B119" s="101" t="s">
        <v>209</v>
      </c>
      <c r="C119" s="179" t="s">
        <v>210</v>
      </c>
      <c r="D119" s="100">
        <v>23</v>
      </c>
      <c r="E119" s="101">
        <v>12</v>
      </c>
      <c r="F119" s="210">
        <v>1</v>
      </c>
      <c r="G119" s="211"/>
      <c r="H119" s="100">
        <v>24</v>
      </c>
      <c r="I119" s="101">
        <v>10</v>
      </c>
      <c r="J119" s="210">
        <v>1</v>
      </c>
      <c r="K119" s="211"/>
      <c r="L119" s="106">
        <v>45</v>
      </c>
      <c r="M119" s="101">
        <v>15</v>
      </c>
      <c r="N119" s="210">
        <v>2</v>
      </c>
      <c r="O119" s="211"/>
      <c r="P119" s="100">
        <v>60</v>
      </c>
      <c r="Q119" s="101">
        <v>25</v>
      </c>
      <c r="R119" s="210">
        <v>3</v>
      </c>
      <c r="S119" s="211"/>
      <c r="T119" s="100">
        <v>67</v>
      </c>
      <c r="U119" s="101">
        <v>29</v>
      </c>
      <c r="V119" s="210">
        <v>3</v>
      </c>
      <c r="W119" s="211"/>
      <c r="X119" s="100">
        <v>46</v>
      </c>
      <c r="Y119" s="101">
        <v>24</v>
      </c>
      <c r="Z119" s="123">
        <v>2</v>
      </c>
      <c r="AA119" s="102" t="s">
        <v>15</v>
      </c>
      <c r="AB119" s="103">
        <v>0</v>
      </c>
      <c r="AC119" s="103">
        <v>0</v>
      </c>
      <c r="AD119" s="103">
        <v>0</v>
      </c>
      <c r="AE119" s="103">
        <v>0</v>
      </c>
      <c r="AF119" s="103">
        <v>0</v>
      </c>
      <c r="AG119" s="103">
        <v>0</v>
      </c>
      <c r="AH119" s="100">
        <f t="shared" si="16"/>
        <v>265</v>
      </c>
      <c r="AI119" s="101">
        <f t="shared" si="16"/>
        <v>115</v>
      </c>
      <c r="AJ119" s="100">
        <v>119</v>
      </c>
      <c r="AK119" s="101">
        <v>47</v>
      </c>
      <c r="AL119" s="105">
        <f>F119+J119+N119+R119+V119+Z119+AD119+AG119</f>
        <v>12</v>
      </c>
    </row>
    <row r="120" spans="1:41" ht="28.8" x14ac:dyDescent="0.25">
      <c r="A120" s="101">
        <v>4</v>
      </c>
      <c r="B120" s="101" t="s">
        <v>209</v>
      </c>
      <c r="C120" s="179" t="s">
        <v>207</v>
      </c>
      <c r="D120" s="100">
        <v>42</v>
      </c>
      <c r="E120" s="101">
        <v>24</v>
      </c>
      <c r="F120" s="210">
        <v>2</v>
      </c>
      <c r="G120" s="211"/>
      <c r="H120" s="100">
        <v>39</v>
      </c>
      <c r="I120" s="101">
        <v>14</v>
      </c>
      <c r="J120" s="210">
        <v>2</v>
      </c>
      <c r="K120" s="211"/>
      <c r="L120" s="100">
        <v>53</v>
      </c>
      <c r="M120" s="101">
        <v>26</v>
      </c>
      <c r="N120" s="210">
        <v>2</v>
      </c>
      <c r="O120" s="211"/>
      <c r="P120" s="100">
        <v>58</v>
      </c>
      <c r="Q120" s="101">
        <v>31</v>
      </c>
      <c r="R120" s="210">
        <v>2</v>
      </c>
      <c r="S120" s="211"/>
      <c r="T120" s="100">
        <v>52</v>
      </c>
      <c r="U120" s="101">
        <v>21</v>
      </c>
      <c r="V120" s="210">
        <v>2</v>
      </c>
      <c r="W120" s="211"/>
      <c r="X120" s="100">
        <v>24</v>
      </c>
      <c r="Y120" s="101">
        <v>11</v>
      </c>
      <c r="Z120" s="123">
        <v>1</v>
      </c>
      <c r="AA120" s="124"/>
      <c r="AB120" s="100">
        <v>11</v>
      </c>
      <c r="AC120" s="101">
        <v>4</v>
      </c>
      <c r="AD120" s="101">
        <v>1</v>
      </c>
      <c r="AE120" s="103">
        <v>0</v>
      </c>
      <c r="AF120" s="103">
        <v>0</v>
      </c>
      <c r="AG120" s="103">
        <v>0</v>
      </c>
      <c r="AH120" s="100">
        <f t="shared" si="16"/>
        <v>279</v>
      </c>
      <c r="AI120" s="101">
        <f t="shared" si="16"/>
        <v>131</v>
      </c>
      <c r="AJ120" s="100">
        <v>83</v>
      </c>
      <c r="AK120" s="101">
        <v>35</v>
      </c>
      <c r="AL120" s="105">
        <f>F120+J120+N120+R120+V120+Z120+AD120+AG120</f>
        <v>12</v>
      </c>
    </row>
    <row r="121" spans="1:41" ht="15.6" x14ac:dyDescent="0.25">
      <c r="A121" s="101"/>
      <c r="B121" s="100" t="s">
        <v>209</v>
      </c>
      <c r="C121" s="202" t="s">
        <v>31</v>
      </c>
      <c r="D121" s="122">
        <f>SUM(D117:D120)</f>
        <v>130</v>
      </c>
      <c r="E121" s="122">
        <f>SUM(E117:E120)</f>
        <v>60</v>
      </c>
      <c r="F121" s="208">
        <f>SUM(F117:F120)</f>
        <v>7</v>
      </c>
      <c r="G121" s="208"/>
      <c r="H121" s="122">
        <f>SUM(H117:H120)</f>
        <v>120</v>
      </c>
      <c r="I121" s="122">
        <f>SUM(I117:I120)</f>
        <v>53</v>
      </c>
      <c r="J121" s="208">
        <f>SUM(J117:J120)</f>
        <v>6</v>
      </c>
      <c r="K121" s="208"/>
      <c r="L121" s="122">
        <f>SUM(L117:L120)</f>
        <v>195</v>
      </c>
      <c r="M121" s="122">
        <f>SUM(M117:M120)</f>
        <v>85</v>
      </c>
      <c r="N121" s="209">
        <f>SUM(N117:N120)</f>
        <v>9</v>
      </c>
      <c r="O121" s="209"/>
      <c r="P121" s="122">
        <f>SUM(P117:P120)</f>
        <v>229</v>
      </c>
      <c r="Q121" s="122">
        <f>SUM(Q117:Q120)</f>
        <v>101</v>
      </c>
      <c r="R121" s="209">
        <f>SUM(R117:R120)</f>
        <v>10</v>
      </c>
      <c r="S121" s="209"/>
      <c r="T121" s="122">
        <f>SUM(T117:T120)</f>
        <v>238</v>
      </c>
      <c r="U121" s="122">
        <f>SUM(U117:U120)</f>
        <v>104</v>
      </c>
      <c r="V121" s="209">
        <f>SUM(V117:V120)</f>
        <v>11</v>
      </c>
      <c r="W121" s="209"/>
      <c r="X121" s="122">
        <f>SUM(X117:X120)</f>
        <v>127</v>
      </c>
      <c r="Y121" s="122">
        <f>SUM(Y117:Y120)</f>
        <v>53</v>
      </c>
      <c r="Z121" s="209">
        <f>SUM(Z117:Z120)</f>
        <v>6</v>
      </c>
      <c r="AA121" s="209"/>
      <c r="AB121" s="122">
        <f t="shared" ref="AB121:AK121" si="17">SUM(AB117:AB120)</f>
        <v>31</v>
      </c>
      <c r="AC121" s="122">
        <f t="shared" si="17"/>
        <v>16</v>
      </c>
      <c r="AD121" s="122">
        <f t="shared" si="17"/>
        <v>2</v>
      </c>
      <c r="AE121" s="122">
        <f t="shared" si="17"/>
        <v>0</v>
      </c>
      <c r="AF121" s="122">
        <f t="shared" si="17"/>
        <v>0</v>
      </c>
      <c r="AG121" s="122">
        <f t="shared" si="17"/>
        <v>0</v>
      </c>
      <c r="AH121" s="122">
        <f t="shared" si="17"/>
        <v>1070</v>
      </c>
      <c r="AI121" s="122">
        <f t="shared" si="17"/>
        <v>472</v>
      </c>
      <c r="AJ121" s="122">
        <f t="shared" si="17"/>
        <v>429</v>
      </c>
      <c r="AK121" s="122">
        <f t="shared" si="17"/>
        <v>181</v>
      </c>
      <c r="AL121" s="100">
        <f>F121+J121+N121+R121+V121+Z121+AD121+AG121</f>
        <v>51</v>
      </c>
    </row>
    <row r="122" spans="1:41" ht="16.2" x14ac:dyDescent="0.25">
      <c r="B122" s="107" t="s">
        <v>209</v>
      </c>
      <c r="C122" s="108" t="s">
        <v>211</v>
      </c>
      <c r="D122" s="128"/>
      <c r="AL122" s="107"/>
      <c r="AM122" s="127"/>
    </row>
    <row r="123" spans="1:41" ht="16.2" x14ac:dyDescent="0.25">
      <c r="B123" s="107" t="s">
        <v>209</v>
      </c>
      <c r="C123" s="203" t="s">
        <v>212</v>
      </c>
      <c r="D123" s="128"/>
      <c r="AL123" s="107"/>
      <c r="AM123" s="127"/>
    </row>
    <row r="124" spans="1:41" ht="28.8" x14ac:dyDescent="0.25">
      <c r="A124" s="101">
        <v>1</v>
      </c>
      <c r="B124" s="101" t="s">
        <v>213</v>
      </c>
      <c r="C124" s="179" t="s">
        <v>206</v>
      </c>
      <c r="D124" s="100">
        <v>41</v>
      </c>
      <c r="E124" s="101">
        <v>19</v>
      </c>
      <c r="F124" s="210">
        <v>2</v>
      </c>
      <c r="G124" s="211"/>
      <c r="H124" s="100">
        <v>35</v>
      </c>
      <c r="I124" s="101">
        <v>11</v>
      </c>
      <c r="J124" s="210">
        <v>2</v>
      </c>
      <c r="K124" s="211"/>
      <c r="L124" s="100">
        <v>34</v>
      </c>
      <c r="M124" s="101">
        <v>21</v>
      </c>
      <c r="N124" s="210">
        <v>2</v>
      </c>
      <c r="O124" s="211"/>
      <c r="P124" s="100">
        <v>39</v>
      </c>
      <c r="Q124" s="101">
        <v>11</v>
      </c>
      <c r="R124" s="210">
        <v>2</v>
      </c>
      <c r="S124" s="211"/>
      <c r="T124" s="100">
        <v>49</v>
      </c>
      <c r="U124" s="101">
        <v>18</v>
      </c>
      <c r="V124" s="210">
        <v>2</v>
      </c>
      <c r="W124" s="211"/>
      <c r="X124" s="100">
        <v>20</v>
      </c>
      <c r="Y124" s="101">
        <v>9</v>
      </c>
      <c r="Z124" s="123">
        <v>1</v>
      </c>
      <c r="AA124" s="102"/>
      <c r="AB124" s="104">
        <v>14</v>
      </c>
      <c r="AC124" s="103">
        <v>8</v>
      </c>
      <c r="AD124" s="103">
        <v>1</v>
      </c>
      <c r="AE124" s="238"/>
      <c r="AF124" s="239"/>
      <c r="AG124" s="240"/>
      <c r="AH124" s="100">
        <f t="shared" ref="AH124:AH127" si="18">D124+H124+L124+P124+T124+X124+AB124+AE124</f>
        <v>232</v>
      </c>
      <c r="AI124" s="101">
        <f t="shared" ref="AI124:AI127" si="19">E124+I124+M124+Q124+U124+Y124+AC124+AF124</f>
        <v>97</v>
      </c>
      <c r="AJ124" s="100">
        <v>118</v>
      </c>
      <c r="AK124" s="101">
        <v>52</v>
      </c>
      <c r="AL124" s="105">
        <f>F124+J124+N124+R124+V124+Z124+AD124+AG124</f>
        <v>12</v>
      </c>
    </row>
    <row r="125" spans="1:41" ht="17.399999999999999" x14ac:dyDescent="0.25">
      <c r="A125" s="101">
        <v>2</v>
      </c>
      <c r="B125" s="101" t="s">
        <v>213</v>
      </c>
      <c r="C125" s="179" t="s">
        <v>11</v>
      </c>
      <c r="D125" s="100">
        <v>36</v>
      </c>
      <c r="E125" s="101">
        <v>15</v>
      </c>
      <c r="F125" s="210">
        <v>2</v>
      </c>
      <c r="G125" s="211"/>
      <c r="H125" s="100">
        <v>36</v>
      </c>
      <c r="I125" s="101">
        <v>13</v>
      </c>
      <c r="J125" s="210">
        <v>2</v>
      </c>
      <c r="K125" s="211"/>
      <c r="L125" s="100">
        <v>35</v>
      </c>
      <c r="M125" s="101">
        <v>15</v>
      </c>
      <c r="N125" s="210">
        <v>2</v>
      </c>
      <c r="O125" s="211"/>
      <c r="P125" s="100">
        <v>70</v>
      </c>
      <c r="Q125" s="101">
        <v>34</v>
      </c>
      <c r="R125" s="210">
        <v>3</v>
      </c>
      <c r="S125" s="211"/>
      <c r="T125" s="100">
        <v>79</v>
      </c>
      <c r="U125" s="101">
        <v>33</v>
      </c>
      <c r="V125" s="210">
        <v>3</v>
      </c>
      <c r="W125" s="211"/>
      <c r="X125" s="100">
        <v>26</v>
      </c>
      <c r="Y125" s="101">
        <v>12</v>
      </c>
      <c r="Z125" s="123">
        <v>1</v>
      </c>
      <c r="AA125" s="102"/>
      <c r="AB125" s="104">
        <v>28</v>
      </c>
      <c r="AC125" s="103">
        <v>15</v>
      </c>
      <c r="AD125" s="103">
        <v>1</v>
      </c>
      <c r="AE125" s="238"/>
      <c r="AF125" s="239"/>
      <c r="AG125" s="240"/>
      <c r="AH125" s="100">
        <f t="shared" si="18"/>
        <v>310</v>
      </c>
      <c r="AI125" s="101">
        <f t="shared" si="19"/>
        <v>137</v>
      </c>
      <c r="AJ125" s="100">
        <v>120</v>
      </c>
      <c r="AK125" s="101">
        <v>52</v>
      </c>
      <c r="AL125" s="105">
        <f>F125+J125+N125+R125+V125+Z125+AD125+AG125</f>
        <v>14</v>
      </c>
    </row>
    <row r="126" spans="1:41" ht="30.6" x14ac:dyDescent="0.25">
      <c r="A126" s="101">
        <v>3</v>
      </c>
      <c r="B126" s="101" t="s">
        <v>213</v>
      </c>
      <c r="C126" s="179" t="s">
        <v>210</v>
      </c>
      <c r="D126" s="100">
        <v>22</v>
      </c>
      <c r="E126" s="101">
        <v>15</v>
      </c>
      <c r="F126" s="210">
        <v>1</v>
      </c>
      <c r="G126" s="211"/>
      <c r="H126" s="100">
        <v>22</v>
      </c>
      <c r="I126" s="101">
        <v>10</v>
      </c>
      <c r="J126" s="210">
        <v>1</v>
      </c>
      <c r="K126" s="211"/>
      <c r="L126" s="106">
        <v>25</v>
      </c>
      <c r="M126" s="101">
        <v>10</v>
      </c>
      <c r="N126" s="210">
        <v>1</v>
      </c>
      <c r="O126" s="211"/>
      <c r="P126" s="100">
        <v>46</v>
      </c>
      <c r="Q126" s="101">
        <v>17</v>
      </c>
      <c r="R126" s="210">
        <v>2</v>
      </c>
      <c r="S126" s="211"/>
      <c r="T126" s="100">
        <v>59</v>
      </c>
      <c r="U126" s="101">
        <v>22</v>
      </c>
      <c r="V126" s="210">
        <v>3</v>
      </c>
      <c r="W126" s="211"/>
      <c r="X126" s="100">
        <v>25</v>
      </c>
      <c r="Y126" s="101">
        <v>8</v>
      </c>
      <c r="Z126" s="123">
        <v>1</v>
      </c>
      <c r="AA126" s="102"/>
      <c r="AB126" s="104">
        <v>20</v>
      </c>
      <c r="AC126" s="103">
        <v>11</v>
      </c>
      <c r="AD126" s="103">
        <v>1</v>
      </c>
      <c r="AE126" s="104">
        <v>8</v>
      </c>
      <c r="AF126" s="103">
        <v>3</v>
      </c>
      <c r="AG126" s="103">
        <v>1</v>
      </c>
      <c r="AH126" s="100">
        <f t="shared" si="18"/>
        <v>227</v>
      </c>
      <c r="AI126" s="101">
        <f t="shared" si="19"/>
        <v>96</v>
      </c>
      <c r="AJ126" s="100">
        <v>118</v>
      </c>
      <c r="AK126" s="101">
        <v>50</v>
      </c>
      <c r="AL126" s="105">
        <f>F126+J126+N126+R126+V126+Z126+AD126+AG126</f>
        <v>11</v>
      </c>
    </row>
    <row r="127" spans="1:41" ht="28.8" x14ac:dyDescent="0.25">
      <c r="A127" s="101">
        <v>4</v>
      </c>
      <c r="B127" s="101" t="s">
        <v>213</v>
      </c>
      <c r="C127" s="179" t="s">
        <v>207</v>
      </c>
      <c r="D127" s="100">
        <v>39</v>
      </c>
      <c r="E127" s="101">
        <v>19</v>
      </c>
      <c r="F127" s="210">
        <v>2</v>
      </c>
      <c r="G127" s="211"/>
      <c r="H127" s="100">
        <v>45</v>
      </c>
      <c r="I127" s="101">
        <v>26</v>
      </c>
      <c r="J127" s="210">
        <v>2</v>
      </c>
      <c r="K127" s="211"/>
      <c r="L127" s="100">
        <v>38</v>
      </c>
      <c r="M127" s="101">
        <v>15</v>
      </c>
      <c r="N127" s="210">
        <v>2</v>
      </c>
      <c r="O127" s="211"/>
      <c r="P127" s="100">
        <v>54</v>
      </c>
      <c r="Q127" s="101">
        <v>25</v>
      </c>
      <c r="R127" s="210">
        <v>2</v>
      </c>
      <c r="S127" s="211"/>
      <c r="T127" s="100">
        <v>58</v>
      </c>
      <c r="U127" s="101">
        <v>32</v>
      </c>
      <c r="V127" s="210">
        <v>2</v>
      </c>
      <c r="W127" s="211"/>
      <c r="X127" s="100">
        <v>30</v>
      </c>
      <c r="Y127" s="101">
        <v>12</v>
      </c>
      <c r="Z127" s="123">
        <v>1</v>
      </c>
      <c r="AA127" s="124"/>
      <c r="AB127" s="100">
        <v>15</v>
      </c>
      <c r="AC127" s="101">
        <v>8</v>
      </c>
      <c r="AD127" s="101">
        <v>1</v>
      </c>
      <c r="AE127" s="238"/>
      <c r="AF127" s="239"/>
      <c r="AG127" s="240"/>
      <c r="AH127" s="100">
        <f t="shared" si="18"/>
        <v>279</v>
      </c>
      <c r="AI127" s="101">
        <f t="shared" si="19"/>
        <v>137</v>
      </c>
      <c r="AJ127" s="100">
        <v>89</v>
      </c>
      <c r="AK127" s="101">
        <v>41</v>
      </c>
      <c r="AL127" s="105">
        <f>F127+J127+N127+R127+V127+Z127+AD127+AG127</f>
        <v>12</v>
      </c>
    </row>
    <row r="128" spans="1:41" ht="15.6" x14ac:dyDescent="0.25">
      <c r="A128" s="101"/>
      <c r="B128" s="100" t="s">
        <v>213</v>
      </c>
      <c r="C128" s="202" t="s">
        <v>31</v>
      </c>
      <c r="D128" s="122">
        <f>SUM(D124:D127)</f>
        <v>138</v>
      </c>
      <c r="E128" s="122">
        <f>SUM(E124:E127)</f>
        <v>68</v>
      </c>
      <c r="F128" s="208">
        <f>SUM(F124:F127)</f>
        <v>7</v>
      </c>
      <c r="G128" s="208"/>
      <c r="H128" s="122">
        <f>SUM(H124:H127)</f>
        <v>138</v>
      </c>
      <c r="I128" s="122">
        <f>SUM(I124:I127)</f>
        <v>60</v>
      </c>
      <c r="J128" s="208">
        <f>SUM(J124:J127)</f>
        <v>7</v>
      </c>
      <c r="K128" s="208"/>
      <c r="L128" s="122">
        <f>SUM(L124:L127)</f>
        <v>132</v>
      </c>
      <c r="M128" s="122">
        <f>SUM(M124:M127)</f>
        <v>61</v>
      </c>
      <c r="N128" s="209">
        <f>SUM(N124:N127)</f>
        <v>7</v>
      </c>
      <c r="O128" s="209"/>
      <c r="P128" s="122">
        <f>SUM(P124:P127)</f>
        <v>209</v>
      </c>
      <c r="Q128" s="122">
        <f>SUM(Q124:Q127)</f>
        <v>87</v>
      </c>
      <c r="R128" s="209">
        <f>SUM(R124:R127)</f>
        <v>9</v>
      </c>
      <c r="S128" s="209"/>
      <c r="T128" s="122">
        <f>SUM(T124:T127)</f>
        <v>245</v>
      </c>
      <c r="U128" s="122">
        <f>SUM(U124:U127)</f>
        <v>105</v>
      </c>
      <c r="V128" s="209">
        <f>SUM(V124:V127)</f>
        <v>10</v>
      </c>
      <c r="W128" s="209"/>
      <c r="X128" s="122">
        <f>SUM(X124:X127)</f>
        <v>101</v>
      </c>
      <c r="Y128" s="122">
        <f>SUM(Y124:Y127)</f>
        <v>41</v>
      </c>
      <c r="Z128" s="209">
        <f>SUM(Z124:Z127)</f>
        <v>4</v>
      </c>
      <c r="AA128" s="209"/>
      <c r="AB128" s="122">
        <f t="shared" ref="AB128:AK128" si="20">SUM(AB124:AB127)</f>
        <v>77</v>
      </c>
      <c r="AC128" s="122">
        <f t="shared" si="20"/>
        <v>42</v>
      </c>
      <c r="AD128" s="122">
        <f t="shared" si="20"/>
        <v>4</v>
      </c>
      <c r="AE128" s="122">
        <f t="shared" si="20"/>
        <v>8</v>
      </c>
      <c r="AF128" s="122">
        <f t="shared" si="20"/>
        <v>3</v>
      </c>
      <c r="AG128" s="122">
        <f t="shared" si="20"/>
        <v>1</v>
      </c>
      <c r="AH128" s="122">
        <f t="shared" si="20"/>
        <v>1048</v>
      </c>
      <c r="AI128" s="122">
        <f t="shared" si="20"/>
        <v>467</v>
      </c>
      <c r="AJ128" s="122">
        <f t="shared" si="20"/>
        <v>445</v>
      </c>
      <c r="AK128" s="122">
        <f t="shared" si="20"/>
        <v>195</v>
      </c>
      <c r="AL128" s="100">
        <f>F128+J128+N128+R128+V128+Z128+AD128+AG128</f>
        <v>49</v>
      </c>
    </row>
    <row r="129" spans="1:38" ht="16.2" x14ac:dyDescent="0.25">
      <c r="A129" s="108" t="s">
        <v>214</v>
      </c>
      <c r="B129" s="107"/>
      <c r="D129" s="128"/>
      <c r="AL129" s="107"/>
    </row>
    <row r="130" spans="1:38" ht="28.8" x14ac:dyDescent="0.25">
      <c r="A130" s="101">
        <v>1</v>
      </c>
      <c r="B130" s="101" t="s">
        <v>215</v>
      </c>
      <c r="C130" s="179" t="s">
        <v>206</v>
      </c>
      <c r="D130" s="100">
        <v>21</v>
      </c>
      <c r="E130" s="101">
        <v>11</v>
      </c>
      <c r="F130" s="210">
        <v>1</v>
      </c>
      <c r="G130" s="211"/>
      <c r="H130" s="100">
        <v>37</v>
      </c>
      <c r="I130" s="101">
        <v>19</v>
      </c>
      <c r="J130" s="210">
        <v>2</v>
      </c>
      <c r="K130" s="211"/>
      <c r="L130" s="100">
        <v>35</v>
      </c>
      <c r="M130" s="101">
        <v>11</v>
      </c>
      <c r="N130" s="210">
        <v>2</v>
      </c>
      <c r="O130" s="211"/>
      <c r="P130" s="100">
        <v>37</v>
      </c>
      <c r="Q130" s="101">
        <v>23</v>
      </c>
      <c r="R130" s="210">
        <v>2</v>
      </c>
      <c r="S130" s="211"/>
      <c r="T130" s="100">
        <v>47</v>
      </c>
      <c r="U130" s="101">
        <v>17</v>
      </c>
      <c r="V130" s="210">
        <v>3</v>
      </c>
      <c r="W130" s="211"/>
      <c r="X130" s="100">
        <v>17</v>
      </c>
      <c r="Y130" s="101">
        <v>9</v>
      </c>
      <c r="Z130" s="123">
        <v>1</v>
      </c>
      <c r="AA130" s="102"/>
      <c r="AB130" s="104">
        <v>19</v>
      </c>
      <c r="AC130" s="103">
        <v>5</v>
      </c>
      <c r="AD130" s="103">
        <v>1</v>
      </c>
      <c r="AE130" s="104">
        <v>9</v>
      </c>
      <c r="AF130" s="207" t="s">
        <v>15</v>
      </c>
      <c r="AG130" s="206">
        <v>1</v>
      </c>
      <c r="AH130" s="200">
        <f>D130+H130+L130+P130+T130+X130+AB130+AE130</f>
        <v>222</v>
      </c>
      <c r="AI130" s="105">
        <f>E130+I130+M130+Q130+U130+Y130+AC130</f>
        <v>95</v>
      </c>
      <c r="AJ130" s="100">
        <v>112</v>
      </c>
      <c r="AK130" s="101">
        <v>53</v>
      </c>
      <c r="AL130" s="105">
        <f>F130+J130+N130+R130+V130+Z130+AD130+AG130</f>
        <v>13</v>
      </c>
    </row>
    <row r="131" spans="1:38" ht="17.399999999999999" x14ac:dyDescent="0.25">
      <c r="A131" s="101">
        <v>2</v>
      </c>
      <c r="B131" s="101" t="s">
        <v>215</v>
      </c>
      <c r="C131" s="179" t="s">
        <v>11</v>
      </c>
      <c r="D131" s="100">
        <v>29</v>
      </c>
      <c r="E131" s="101">
        <v>7</v>
      </c>
      <c r="F131" s="210">
        <v>2</v>
      </c>
      <c r="G131" s="211"/>
      <c r="H131" s="100">
        <v>41</v>
      </c>
      <c r="I131" s="101">
        <v>15</v>
      </c>
      <c r="J131" s="210">
        <v>2</v>
      </c>
      <c r="K131" s="211"/>
      <c r="L131" s="100">
        <v>47</v>
      </c>
      <c r="M131" s="101">
        <v>16</v>
      </c>
      <c r="N131" s="210">
        <v>2</v>
      </c>
      <c r="O131" s="211"/>
      <c r="P131" s="100">
        <v>51</v>
      </c>
      <c r="Q131" s="101">
        <v>23</v>
      </c>
      <c r="R131" s="210">
        <v>2</v>
      </c>
      <c r="S131" s="211"/>
      <c r="T131" s="100">
        <v>83</v>
      </c>
      <c r="U131" s="101">
        <v>43</v>
      </c>
      <c r="V131" s="210">
        <v>3</v>
      </c>
      <c r="W131" s="211"/>
      <c r="X131" s="100">
        <v>21</v>
      </c>
      <c r="Y131" s="101">
        <v>12</v>
      </c>
      <c r="Z131" s="123">
        <v>1</v>
      </c>
      <c r="AA131" s="102"/>
      <c r="AB131" s="104">
        <v>34</v>
      </c>
      <c r="AC131" s="103">
        <v>14</v>
      </c>
      <c r="AD131" s="103">
        <v>2</v>
      </c>
      <c r="AE131" s="238"/>
      <c r="AF131" s="239"/>
      <c r="AG131" s="240"/>
      <c r="AH131" s="200">
        <f>D131+H131+L131+P131+T131+X131+AB131</f>
        <v>306</v>
      </c>
      <c r="AI131" s="101">
        <f t="shared" ref="AI131:AI133" si="21">E131+I131+M131+Q131+U131+Y131+AC131+AF131</f>
        <v>130</v>
      </c>
      <c r="AJ131" s="100">
        <v>121</v>
      </c>
      <c r="AK131" s="101">
        <v>51</v>
      </c>
      <c r="AL131" s="105">
        <f>F131+J131+N131+R131+V131+Z131+AD131+AG131</f>
        <v>14</v>
      </c>
    </row>
    <row r="132" spans="1:38" ht="28.2" x14ac:dyDescent="0.25">
      <c r="A132" s="101">
        <v>3</v>
      </c>
      <c r="B132" s="101" t="s">
        <v>215</v>
      </c>
      <c r="C132" s="179" t="s">
        <v>216</v>
      </c>
      <c r="D132" s="100">
        <v>16</v>
      </c>
      <c r="E132" s="101">
        <v>6</v>
      </c>
      <c r="F132" s="210">
        <v>1</v>
      </c>
      <c r="G132" s="211"/>
      <c r="H132" s="100">
        <v>26</v>
      </c>
      <c r="I132" s="101">
        <v>17</v>
      </c>
      <c r="J132" s="210">
        <v>1</v>
      </c>
      <c r="K132" s="211"/>
      <c r="L132" s="106">
        <v>34</v>
      </c>
      <c r="M132" s="101">
        <v>18</v>
      </c>
      <c r="N132" s="210">
        <v>2</v>
      </c>
      <c r="O132" s="211"/>
      <c r="P132" s="100">
        <v>37</v>
      </c>
      <c r="Q132" s="101">
        <v>11</v>
      </c>
      <c r="R132" s="210">
        <v>2</v>
      </c>
      <c r="S132" s="211"/>
      <c r="T132" s="100">
        <v>53</v>
      </c>
      <c r="U132" s="101">
        <v>22</v>
      </c>
      <c r="V132" s="210">
        <v>2</v>
      </c>
      <c r="W132" s="211"/>
      <c r="X132" s="100">
        <v>29</v>
      </c>
      <c r="Y132" s="101">
        <v>12</v>
      </c>
      <c r="Z132" s="123">
        <v>2</v>
      </c>
      <c r="AA132" s="102"/>
      <c r="AB132" s="104">
        <v>17</v>
      </c>
      <c r="AC132" s="103">
        <v>8</v>
      </c>
      <c r="AD132" s="103">
        <v>1</v>
      </c>
      <c r="AE132" s="104">
        <v>11</v>
      </c>
      <c r="AF132" s="103">
        <v>4</v>
      </c>
      <c r="AG132" s="103">
        <v>1</v>
      </c>
      <c r="AH132" s="200">
        <f>D132+H132+L132+P132+T132+X132+AB132+AE132</f>
        <v>223</v>
      </c>
      <c r="AI132" s="105">
        <f>E132+I132+M132+Q132+U132+Y132+AC132+AF132</f>
        <v>98</v>
      </c>
      <c r="AJ132" s="100">
        <v>109</v>
      </c>
      <c r="AK132" s="101">
        <v>47</v>
      </c>
      <c r="AL132" s="105">
        <f>F132+J132+N132+R132+V132+Z132+AD132+AG132</f>
        <v>12</v>
      </c>
    </row>
    <row r="133" spans="1:38" ht="28.8" x14ac:dyDescent="0.25">
      <c r="A133" s="101">
        <v>4</v>
      </c>
      <c r="B133" s="101" t="s">
        <v>215</v>
      </c>
      <c r="C133" s="179" t="s">
        <v>207</v>
      </c>
      <c r="D133" s="100">
        <v>48</v>
      </c>
      <c r="E133" s="101">
        <v>19</v>
      </c>
      <c r="F133" s="210">
        <v>2</v>
      </c>
      <c r="G133" s="211"/>
      <c r="H133" s="100">
        <v>41</v>
      </c>
      <c r="I133" s="101">
        <v>20</v>
      </c>
      <c r="J133" s="210">
        <v>2</v>
      </c>
      <c r="K133" s="211"/>
      <c r="L133" s="100">
        <v>51</v>
      </c>
      <c r="M133" s="101">
        <v>29</v>
      </c>
      <c r="N133" s="210">
        <v>2</v>
      </c>
      <c r="O133" s="211"/>
      <c r="P133" s="100">
        <v>44</v>
      </c>
      <c r="Q133" s="101">
        <v>15</v>
      </c>
      <c r="R133" s="210">
        <v>2</v>
      </c>
      <c r="S133" s="211"/>
      <c r="T133" s="100">
        <v>58</v>
      </c>
      <c r="U133" s="101">
        <v>27</v>
      </c>
      <c r="V133" s="210">
        <v>2</v>
      </c>
      <c r="W133" s="211"/>
      <c r="X133" s="100">
        <v>36</v>
      </c>
      <c r="Y133" s="101">
        <v>18</v>
      </c>
      <c r="Z133" s="123">
        <v>2</v>
      </c>
      <c r="AA133" s="124"/>
      <c r="AB133" s="100">
        <v>14</v>
      </c>
      <c r="AC133" s="101">
        <v>8</v>
      </c>
      <c r="AD133" s="101">
        <v>1</v>
      </c>
      <c r="AE133" s="238"/>
      <c r="AF133" s="239"/>
      <c r="AG133" s="240"/>
      <c r="AH133" s="200">
        <f>D133+H133+L133+P133+T133+X133+AB133</f>
        <v>292</v>
      </c>
      <c r="AI133" s="101">
        <f t="shared" si="21"/>
        <v>136</v>
      </c>
      <c r="AJ133" s="100">
        <v>102</v>
      </c>
      <c r="AK133" s="101">
        <v>47</v>
      </c>
      <c r="AL133" s="105">
        <f>F133+J133+N133+R133+V133+Z133+AD133+AG133</f>
        <v>13</v>
      </c>
    </row>
    <row r="134" spans="1:38" ht="15.6" x14ac:dyDescent="0.25">
      <c r="A134" s="101"/>
      <c r="B134" s="100" t="s">
        <v>215</v>
      </c>
      <c r="C134" s="202" t="s">
        <v>31</v>
      </c>
      <c r="D134" s="122">
        <f>SUM(D130:D133)</f>
        <v>114</v>
      </c>
      <c r="E134" s="122">
        <f>SUM(E130:E133)</f>
        <v>43</v>
      </c>
      <c r="F134" s="208">
        <f>SUM(F130:F133)</f>
        <v>6</v>
      </c>
      <c r="G134" s="208"/>
      <c r="H134" s="122">
        <f>SUM(H130:H133)</f>
        <v>145</v>
      </c>
      <c r="I134" s="122">
        <f>SUM(I130:I133)</f>
        <v>71</v>
      </c>
      <c r="J134" s="208">
        <f>SUM(J130:J133)</f>
        <v>7</v>
      </c>
      <c r="K134" s="208"/>
      <c r="L134" s="122">
        <f>SUM(L130:L133)</f>
        <v>167</v>
      </c>
      <c r="M134" s="122">
        <f>SUM(M130:M133)</f>
        <v>74</v>
      </c>
      <c r="N134" s="209">
        <f>SUM(N130:N133)</f>
        <v>8</v>
      </c>
      <c r="O134" s="209"/>
      <c r="P134" s="122">
        <f>SUM(P130:P133)</f>
        <v>169</v>
      </c>
      <c r="Q134" s="122">
        <f>SUM(Q130:Q133)</f>
        <v>72</v>
      </c>
      <c r="R134" s="209">
        <f>SUM(R130:R133)</f>
        <v>8</v>
      </c>
      <c r="S134" s="209"/>
      <c r="T134" s="122">
        <f>SUM(T130:T133)</f>
        <v>241</v>
      </c>
      <c r="U134" s="122">
        <f>SUM(U130:U133)</f>
        <v>109</v>
      </c>
      <c r="V134" s="209">
        <f>SUM(V130:V133)</f>
        <v>10</v>
      </c>
      <c r="W134" s="209"/>
      <c r="X134" s="122">
        <f>SUM(X130:X133)</f>
        <v>103</v>
      </c>
      <c r="Y134" s="122">
        <f>SUM(Y130:Y133)</f>
        <v>51</v>
      </c>
      <c r="Z134" s="209">
        <f>SUM(Z130:Z133)</f>
        <v>6</v>
      </c>
      <c r="AA134" s="209"/>
      <c r="AB134" s="122">
        <f t="shared" ref="AB134:AK134" si="22">SUM(AB130:AB133)</f>
        <v>84</v>
      </c>
      <c r="AC134" s="122">
        <f t="shared" si="22"/>
        <v>35</v>
      </c>
      <c r="AD134" s="122">
        <f t="shared" si="22"/>
        <v>5</v>
      </c>
      <c r="AE134" s="122">
        <f t="shared" si="22"/>
        <v>20</v>
      </c>
      <c r="AF134" s="122">
        <f t="shared" si="22"/>
        <v>4</v>
      </c>
      <c r="AG134" s="122">
        <f t="shared" si="22"/>
        <v>2</v>
      </c>
      <c r="AH134" s="122">
        <f t="shared" si="22"/>
        <v>1043</v>
      </c>
      <c r="AI134" s="122">
        <f t="shared" si="22"/>
        <v>459</v>
      </c>
      <c r="AJ134" s="122">
        <f t="shared" si="22"/>
        <v>444</v>
      </c>
      <c r="AK134" s="122">
        <f t="shared" si="22"/>
        <v>198</v>
      </c>
      <c r="AL134" s="100">
        <f t="shared" ref="AL134" si="23">F134+J134+N134+R134+V134+Z134+AD134+AG134</f>
        <v>52</v>
      </c>
    </row>
    <row r="135" spans="1:38" ht="16.2" x14ac:dyDescent="0.25">
      <c r="A135" s="204" t="s">
        <v>218</v>
      </c>
      <c r="B135" s="107"/>
      <c r="D135" s="128"/>
      <c r="AL135" s="107"/>
    </row>
    <row r="136" spans="1:38" ht="16.2" x14ac:dyDescent="0.25">
      <c r="A136" s="108" t="s">
        <v>219</v>
      </c>
    </row>
  </sheetData>
  <mergeCells count="231">
    <mergeCell ref="AE133:AG133"/>
    <mergeCell ref="F134:G134"/>
    <mergeCell ref="J134:K134"/>
    <mergeCell ref="N134:O134"/>
    <mergeCell ref="R134:S134"/>
    <mergeCell ref="V134:W134"/>
    <mergeCell ref="Z134:AA134"/>
    <mergeCell ref="F132:G132"/>
    <mergeCell ref="J132:K132"/>
    <mergeCell ref="N132:O132"/>
    <mergeCell ref="R132:S132"/>
    <mergeCell ref="V132:W132"/>
    <mergeCell ref="F133:G133"/>
    <mergeCell ref="J133:K133"/>
    <mergeCell ref="N133:O133"/>
    <mergeCell ref="R133:S133"/>
    <mergeCell ref="V133:W133"/>
    <mergeCell ref="F130:G130"/>
    <mergeCell ref="J130:K130"/>
    <mergeCell ref="N130:O130"/>
    <mergeCell ref="R130:S130"/>
    <mergeCell ref="V130:W130"/>
    <mergeCell ref="F131:G131"/>
    <mergeCell ref="J131:K131"/>
    <mergeCell ref="N131:O131"/>
    <mergeCell ref="R131:S131"/>
    <mergeCell ref="V131:W131"/>
    <mergeCell ref="AE131:AG131"/>
    <mergeCell ref="AE124:AG124"/>
    <mergeCell ref="AE125:AG125"/>
    <mergeCell ref="AE127:AG127"/>
    <mergeCell ref="Z113:AA113"/>
    <mergeCell ref="F112:G112"/>
    <mergeCell ref="J112:K112"/>
    <mergeCell ref="N112:O112"/>
    <mergeCell ref="R112:S112"/>
    <mergeCell ref="V112:W112"/>
    <mergeCell ref="F113:G113"/>
    <mergeCell ref="J113:K113"/>
    <mergeCell ref="N113:O113"/>
    <mergeCell ref="R113:S113"/>
    <mergeCell ref="V113:W113"/>
    <mergeCell ref="F117:G117"/>
    <mergeCell ref="J117:K117"/>
    <mergeCell ref="N117:O117"/>
    <mergeCell ref="R117:S117"/>
    <mergeCell ref="V117:W117"/>
    <mergeCell ref="F118:G118"/>
    <mergeCell ref="J118:K118"/>
    <mergeCell ref="N118:O118"/>
    <mergeCell ref="R118:S118"/>
    <mergeCell ref="V118:W118"/>
    <mergeCell ref="F110:G110"/>
    <mergeCell ref="J110:K110"/>
    <mergeCell ref="N110:O110"/>
    <mergeCell ref="R110:S110"/>
    <mergeCell ref="V110:W110"/>
    <mergeCell ref="F111:G111"/>
    <mergeCell ref="J111:K111"/>
    <mergeCell ref="N111:O111"/>
    <mergeCell ref="R111:S111"/>
    <mergeCell ref="V111:W111"/>
    <mergeCell ref="AE101:AG101"/>
    <mergeCell ref="F103:G103"/>
    <mergeCell ref="J103:K103"/>
    <mergeCell ref="N103:O103"/>
    <mergeCell ref="R103:S103"/>
    <mergeCell ref="V103:W103"/>
    <mergeCell ref="Z103:AA103"/>
    <mergeCell ref="F109:G109"/>
    <mergeCell ref="J109:K109"/>
    <mergeCell ref="N109:O109"/>
    <mergeCell ref="R109:S109"/>
    <mergeCell ref="V109:W109"/>
    <mergeCell ref="D108:W108"/>
    <mergeCell ref="D98:S98"/>
    <mergeCell ref="V93:W93"/>
    <mergeCell ref="Z93:AA93"/>
    <mergeCell ref="F99:G99"/>
    <mergeCell ref="F100:G100"/>
    <mergeCell ref="F101:G101"/>
    <mergeCell ref="F102:G102"/>
    <mergeCell ref="J99:K99"/>
    <mergeCell ref="J100:K100"/>
    <mergeCell ref="J101:K101"/>
    <mergeCell ref="J102:K102"/>
    <mergeCell ref="N99:O99"/>
    <mergeCell ref="N100:O100"/>
    <mergeCell ref="N101:O101"/>
    <mergeCell ref="N102:O102"/>
    <mergeCell ref="R99:S99"/>
    <mergeCell ref="R100:S100"/>
    <mergeCell ref="R101:S101"/>
    <mergeCell ref="R102:S102"/>
    <mergeCell ref="V99:W99"/>
    <mergeCell ref="V100:W100"/>
    <mergeCell ref="V101:W101"/>
    <mergeCell ref="V102:W102"/>
    <mergeCell ref="D87:W87"/>
    <mergeCell ref="D88:O88"/>
    <mergeCell ref="F93:G93"/>
    <mergeCell ref="J93:K93"/>
    <mergeCell ref="N93:O93"/>
    <mergeCell ref="R93:S93"/>
    <mergeCell ref="D60:O60"/>
    <mergeCell ref="D61:S61"/>
    <mergeCell ref="D62:G62"/>
    <mergeCell ref="Z67:AA67"/>
    <mergeCell ref="F67:G67"/>
    <mergeCell ref="J67:K67"/>
    <mergeCell ref="N67:O67"/>
    <mergeCell ref="R67:S67"/>
    <mergeCell ref="V67:W67"/>
    <mergeCell ref="N5:O6"/>
    <mergeCell ref="T5:T6"/>
    <mergeCell ref="P4:S4"/>
    <mergeCell ref="P5:P6"/>
    <mergeCell ref="Q5:Q6"/>
    <mergeCell ref="R16:S16"/>
    <mergeCell ref="V55:W55"/>
    <mergeCell ref="Z55:AA55"/>
    <mergeCell ref="F55:G55"/>
    <mergeCell ref="J55:K55"/>
    <mergeCell ref="N55:O55"/>
    <mergeCell ref="R55:S55"/>
    <mergeCell ref="F48:G48"/>
    <mergeCell ref="F49:G49"/>
    <mergeCell ref="Z40:AA40"/>
    <mergeCell ref="R40:S40"/>
    <mergeCell ref="J7:K7"/>
    <mergeCell ref="N7:O7"/>
    <mergeCell ref="A4:A6"/>
    <mergeCell ref="B4:B6"/>
    <mergeCell ref="C4:C6"/>
    <mergeCell ref="T4:W4"/>
    <mergeCell ref="L4:O4"/>
    <mergeCell ref="D5:D6"/>
    <mergeCell ref="E5:E6"/>
    <mergeCell ref="F5:G6"/>
    <mergeCell ref="H4:K4"/>
    <mergeCell ref="L5:L6"/>
    <mergeCell ref="H5:H6"/>
    <mergeCell ref="I5:I6"/>
    <mergeCell ref="J5:K6"/>
    <mergeCell ref="R5:S6"/>
    <mergeCell ref="M5:M6"/>
    <mergeCell ref="D4:G4"/>
    <mergeCell ref="U5:U6"/>
    <mergeCell ref="AE4:AG5"/>
    <mergeCell ref="X5:AA5"/>
    <mergeCell ref="Z6:AA6"/>
    <mergeCell ref="AL4:AL6"/>
    <mergeCell ref="AH5:AI5"/>
    <mergeCell ref="AH4:AK4"/>
    <mergeCell ref="X4:AD4"/>
    <mergeCell ref="AB5:AD5"/>
    <mergeCell ref="V5:W6"/>
    <mergeCell ref="F40:G40"/>
    <mergeCell ref="J40:K40"/>
    <mergeCell ref="N40:O40"/>
    <mergeCell ref="F26:G26"/>
    <mergeCell ref="J26:K26"/>
    <mergeCell ref="N26:O26"/>
    <mergeCell ref="F16:G16"/>
    <mergeCell ref="J16:K16"/>
    <mergeCell ref="N16:O16"/>
    <mergeCell ref="AE91:AG91"/>
    <mergeCell ref="AJ5:AK5"/>
    <mergeCell ref="D78:K78"/>
    <mergeCell ref="F83:G83"/>
    <mergeCell ref="J83:K83"/>
    <mergeCell ref="N83:O83"/>
    <mergeCell ref="R83:S83"/>
    <mergeCell ref="V7:W7"/>
    <mergeCell ref="Z7:AA7"/>
    <mergeCell ref="J48:K48"/>
    <mergeCell ref="J49:K49"/>
    <mergeCell ref="N49:O49"/>
    <mergeCell ref="V40:W40"/>
    <mergeCell ref="V16:W16"/>
    <mergeCell ref="Z16:AA16"/>
    <mergeCell ref="V26:W26"/>
    <mergeCell ref="Z26:AA26"/>
    <mergeCell ref="R26:S26"/>
    <mergeCell ref="V83:W83"/>
    <mergeCell ref="Z83:AA83"/>
    <mergeCell ref="D77:S77"/>
    <mergeCell ref="F7:G7"/>
    <mergeCell ref="R7:S7"/>
    <mergeCell ref="F119:G119"/>
    <mergeCell ref="J119:K119"/>
    <mergeCell ref="N119:O119"/>
    <mergeCell ref="R119:S119"/>
    <mergeCell ref="V119:W119"/>
    <mergeCell ref="F120:G120"/>
    <mergeCell ref="J120:K120"/>
    <mergeCell ref="N120:O120"/>
    <mergeCell ref="R120:S120"/>
    <mergeCell ref="V120:W120"/>
    <mergeCell ref="N125:O125"/>
    <mergeCell ref="R125:S125"/>
    <mergeCell ref="V125:W125"/>
    <mergeCell ref="F121:G121"/>
    <mergeCell ref="J121:K121"/>
    <mergeCell ref="N121:O121"/>
    <mergeCell ref="R121:S121"/>
    <mergeCell ref="V121:W121"/>
    <mergeCell ref="Z121:AA121"/>
    <mergeCell ref="F124:G124"/>
    <mergeCell ref="J124:K124"/>
    <mergeCell ref="N124:O124"/>
    <mergeCell ref="R124:S124"/>
    <mergeCell ref="V124:W124"/>
    <mergeCell ref="F125:G125"/>
    <mergeCell ref="J125:K125"/>
    <mergeCell ref="F128:G128"/>
    <mergeCell ref="J128:K128"/>
    <mergeCell ref="N128:O128"/>
    <mergeCell ref="R128:S128"/>
    <mergeCell ref="V128:W128"/>
    <mergeCell ref="Z128:AA128"/>
    <mergeCell ref="F126:G126"/>
    <mergeCell ref="J126:K126"/>
    <mergeCell ref="N126:O126"/>
    <mergeCell ref="R126:S126"/>
    <mergeCell ref="V126:W126"/>
    <mergeCell ref="F127:G127"/>
    <mergeCell ref="J127:K127"/>
    <mergeCell ref="N127:O127"/>
    <mergeCell ref="R127:S127"/>
    <mergeCell ref="V127:W127"/>
  </mergeCells>
  <phoneticPr fontId="0" type="noConversion"/>
  <pageMargins left="0.43307086614173229" right="0.19685039370078741" top="0.98425196850393704" bottom="0.59055118110236227" header="0.70866141732283472" footer="0.19685039370078741"/>
  <pageSetup paperSize="9" scale="74" orientation="landscape" horizontalDpi="1200" verticalDpi="1200" r:id="rId1"/>
  <headerFooter alignWithMargins="0">
    <oddHeader>&amp;C&amp;"Arial,Fett"&amp;12 &amp;R&amp;12Amt&amp;"Arial,Fett" für Schule und Weiterbildung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T246"/>
  <sheetViews>
    <sheetView topLeftCell="M4" workbookViewId="0">
      <selection activeCell="BT12" sqref="BT12"/>
    </sheetView>
  </sheetViews>
  <sheetFormatPr baseColWidth="10" defaultColWidth="11.44140625" defaultRowHeight="13.2" x14ac:dyDescent="0.25"/>
  <cols>
    <col min="1" max="1" width="3.6640625" style="4" customWidth="1"/>
    <col min="2" max="2" width="21.88671875" style="5" customWidth="1"/>
    <col min="3" max="3" width="0.33203125" style="4" customWidth="1"/>
    <col min="4" max="4" width="6.5546875" style="4" hidden="1" customWidth="1"/>
    <col min="5" max="5" width="5.5546875" style="4" hidden="1" customWidth="1"/>
    <col min="6" max="6" width="6.5546875" style="4" hidden="1" customWidth="1"/>
    <col min="7" max="7" width="5.5546875" style="4" hidden="1" customWidth="1"/>
    <col min="8" max="8" width="7.109375" style="4" hidden="1" customWidth="1"/>
    <col min="9" max="9" width="6.6640625" style="4" hidden="1" customWidth="1"/>
    <col min="10" max="10" width="6.109375" style="4" hidden="1" customWidth="1"/>
    <col min="11" max="11" width="6.6640625" style="4" hidden="1" customWidth="1"/>
    <col min="12" max="12" width="6.109375" style="4" hidden="1" customWidth="1"/>
    <col min="13" max="13" width="1" style="4" customWidth="1"/>
    <col min="14" max="14" width="6.6640625" style="4" hidden="1" customWidth="1"/>
    <col min="15" max="15" width="5.5546875" style="4" hidden="1" customWidth="1"/>
    <col min="16" max="16" width="6.6640625" style="4" hidden="1" customWidth="1"/>
    <col min="17" max="17" width="5.5546875" style="4" hidden="1" customWidth="1"/>
    <col min="18" max="18" width="6.6640625" style="4" hidden="1" customWidth="1"/>
    <col min="19" max="19" width="6.5546875" style="4" hidden="1" customWidth="1"/>
    <col min="20" max="20" width="5.5546875" style="4" hidden="1" customWidth="1"/>
    <col min="21" max="21" width="6.5546875" style="4" hidden="1" customWidth="1"/>
    <col min="22" max="22" width="5.5546875" style="4" hidden="1" customWidth="1"/>
    <col min="23" max="23" width="6.6640625" style="4" hidden="1" customWidth="1"/>
    <col min="24" max="24" width="6.5546875" style="4" hidden="1" customWidth="1"/>
    <col min="25" max="25" width="5.5546875" style="4" hidden="1" customWidth="1"/>
    <col min="26" max="26" width="6.5546875" style="4" hidden="1" customWidth="1"/>
    <col min="27" max="27" width="5.5546875" style="4" hidden="1" customWidth="1"/>
    <col min="28" max="28" width="6.6640625" style="4" hidden="1" customWidth="1"/>
    <col min="29" max="29" width="6.5546875" style="4" hidden="1" customWidth="1"/>
    <col min="30" max="30" width="5.5546875" style="4" hidden="1" customWidth="1"/>
    <col min="31" max="31" width="6.5546875" style="4" hidden="1" customWidth="1"/>
    <col min="32" max="32" width="5.5546875" style="4" hidden="1" customWidth="1"/>
    <col min="33" max="33" width="6.6640625" style="4" hidden="1" customWidth="1"/>
    <col min="34" max="34" width="6.5546875" style="4" hidden="1" customWidth="1"/>
    <col min="35" max="35" width="5.5546875" style="4" hidden="1" customWidth="1"/>
    <col min="36" max="36" width="6.5546875" style="4" hidden="1" customWidth="1"/>
    <col min="37" max="37" width="5.5546875" style="4" hidden="1" customWidth="1"/>
    <col min="38" max="38" width="6.6640625" style="4" hidden="1" customWidth="1"/>
    <col min="39" max="39" width="6.5546875" style="4" hidden="1" customWidth="1"/>
    <col min="40" max="40" width="5.5546875" style="4" hidden="1" customWidth="1"/>
    <col min="41" max="41" width="6.5546875" style="4" hidden="1" customWidth="1"/>
    <col min="42" max="42" width="5.5546875" style="4" hidden="1" customWidth="1"/>
    <col min="43" max="43" width="6.6640625" style="4" customWidth="1"/>
    <col min="44" max="44" width="6.5546875" style="4" customWidth="1"/>
    <col min="45" max="45" width="5.5546875" style="4" bestFit="1" customWidth="1"/>
    <col min="46" max="46" width="6.5546875" style="4" customWidth="1"/>
    <col min="47" max="47" width="5.5546875" style="4" bestFit="1" customWidth="1"/>
    <col min="48" max="48" width="6.6640625" style="4" customWidth="1"/>
    <col min="49" max="49" width="6.44140625" style="4" customWidth="1"/>
    <col min="50" max="50" width="6.109375" style="4" customWidth="1"/>
    <col min="51" max="51" width="6.33203125" style="4" customWidth="1"/>
    <col min="52" max="52" width="6.109375" style="4" customWidth="1"/>
    <col min="53" max="53" width="6.33203125" style="6" customWidth="1"/>
    <col min="54" max="54" width="7.5546875" style="6" customWidth="1"/>
    <col min="55" max="55" width="5.44140625" style="6" customWidth="1"/>
    <col min="56" max="56" width="7.109375" style="6" customWidth="1"/>
    <col min="57" max="72" width="6.33203125" style="6" customWidth="1"/>
    <col min="73" max="16384" width="11.44140625" style="6"/>
  </cols>
  <sheetData>
    <row r="1" spans="1:72" s="2" customFormat="1" x14ac:dyDescent="0.25">
      <c r="A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72" s="2" customFormat="1" x14ac:dyDescent="0.25">
      <c r="A2" s="2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4" spans="1:72" ht="13.8" thickBot="1" x14ac:dyDescent="0.3"/>
    <row r="5" spans="1:72" s="7" customFormat="1" ht="15" customHeight="1" x14ac:dyDescent="0.25">
      <c r="A5" s="259" t="s">
        <v>24</v>
      </c>
      <c r="B5" s="262" t="s">
        <v>25</v>
      </c>
      <c r="C5" s="254" t="s">
        <v>73</v>
      </c>
      <c r="D5" s="255"/>
      <c r="E5" s="255"/>
      <c r="F5" s="255"/>
      <c r="G5" s="256"/>
      <c r="H5" s="241" t="s">
        <v>13</v>
      </c>
      <c r="I5" s="242"/>
      <c r="J5" s="242"/>
      <c r="K5" s="242"/>
      <c r="L5" s="253"/>
      <c r="M5" s="241" t="s">
        <v>14</v>
      </c>
      <c r="N5" s="242"/>
      <c r="O5" s="242"/>
      <c r="P5" s="242"/>
      <c r="Q5" s="243"/>
      <c r="R5" s="241" t="s">
        <v>20</v>
      </c>
      <c r="S5" s="242"/>
      <c r="T5" s="242"/>
      <c r="U5" s="242"/>
      <c r="V5" s="243"/>
      <c r="W5" s="241" t="s">
        <v>21</v>
      </c>
      <c r="X5" s="242"/>
      <c r="Y5" s="242"/>
      <c r="Z5" s="242"/>
      <c r="AA5" s="243"/>
      <c r="AB5" s="241" t="s">
        <v>23</v>
      </c>
      <c r="AC5" s="242"/>
      <c r="AD5" s="242"/>
      <c r="AE5" s="242"/>
      <c r="AF5" s="243"/>
      <c r="AG5" s="241" t="s">
        <v>46</v>
      </c>
      <c r="AH5" s="242"/>
      <c r="AI5" s="242"/>
      <c r="AJ5" s="242"/>
      <c r="AK5" s="243"/>
      <c r="AL5" s="241" t="s">
        <v>66</v>
      </c>
      <c r="AM5" s="242"/>
      <c r="AN5" s="242"/>
      <c r="AO5" s="242"/>
      <c r="AP5" s="243"/>
      <c r="AQ5" s="241" t="s">
        <v>94</v>
      </c>
      <c r="AR5" s="242"/>
      <c r="AS5" s="242"/>
      <c r="AT5" s="242"/>
      <c r="AU5" s="243"/>
      <c r="AV5" s="241" t="s">
        <v>96</v>
      </c>
      <c r="AW5" s="242"/>
      <c r="AX5" s="242"/>
      <c r="AY5" s="242"/>
      <c r="AZ5" s="243"/>
      <c r="BA5" s="241" t="s">
        <v>98</v>
      </c>
      <c r="BB5" s="242"/>
      <c r="BC5" s="242"/>
      <c r="BD5" s="242"/>
      <c r="BE5" s="243"/>
      <c r="BF5" s="241" t="s">
        <v>104</v>
      </c>
      <c r="BG5" s="242"/>
      <c r="BH5" s="242"/>
      <c r="BI5" s="242"/>
      <c r="BJ5" s="243"/>
      <c r="BK5" s="241" t="s">
        <v>141</v>
      </c>
      <c r="BL5" s="242"/>
      <c r="BM5" s="242"/>
      <c r="BN5" s="242"/>
      <c r="BO5" s="243"/>
      <c r="BP5" s="241" t="s">
        <v>153</v>
      </c>
      <c r="BQ5" s="242"/>
      <c r="BR5" s="242"/>
      <c r="BS5" s="242"/>
      <c r="BT5" s="243"/>
    </row>
    <row r="6" spans="1:72" s="5" customFormat="1" ht="15" customHeight="1" x14ac:dyDescent="0.25">
      <c r="A6" s="260"/>
      <c r="B6" s="263"/>
      <c r="C6" s="244" t="s">
        <v>26</v>
      </c>
      <c r="D6" s="257" t="s">
        <v>74</v>
      </c>
      <c r="E6" s="257"/>
      <c r="F6" s="257"/>
      <c r="G6" s="258"/>
      <c r="H6" s="244" t="s">
        <v>26</v>
      </c>
      <c r="I6" s="247" t="s">
        <v>74</v>
      </c>
      <c r="J6" s="248"/>
      <c r="K6" s="248"/>
      <c r="L6" s="249"/>
      <c r="M6" s="244" t="s">
        <v>26</v>
      </c>
      <c r="N6" s="247" t="s">
        <v>74</v>
      </c>
      <c r="O6" s="248"/>
      <c r="P6" s="248"/>
      <c r="Q6" s="249"/>
      <c r="R6" s="244" t="s">
        <v>26</v>
      </c>
      <c r="S6" s="247" t="s">
        <v>74</v>
      </c>
      <c r="T6" s="248"/>
      <c r="U6" s="248"/>
      <c r="V6" s="249"/>
      <c r="W6" s="244" t="s">
        <v>26</v>
      </c>
      <c r="X6" s="247" t="s">
        <v>74</v>
      </c>
      <c r="Y6" s="248"/>
      <c r="Z6" s="248"/>
      <c r="AA6" s="249"/>
      <c r="AB6" s="244" t="s">
        <v>26</v>
      </c>
      <c r="AC6" s="247" t="s">
        <v>74</v>
      </c>
      <c r="AD6" s="248"/>
      <c r="AE6" s="248"/>
      <c r="AF6" s="249"/>
      <c r="AG6" s="244" t="s">
        <v>26</v>
      </c>
      <c r="AH6" s="247" t="s">
        <v>74</v>
      </c>
      <c r="AI6" s="248"/>
      <c r="AJ6" s="248"/>
      <c r="AK6" s="249"/>
      <c r="AL6" s="244" t="s">
        <v>26</v>
      </c>
      <c r="AM6" s="247" t="s">
        <v>74</v>
      </c>
      <c r="AN6" s="248"/>
      <c r="AO6" s="248"/>
      <c r="AP6" s="249"/>
      <c r="AQ6" s="244" t="s">
        <v>26</v>
      </c>
      <c r="AR6" s="247" t="s">
        <v>74</v>
      </c>
      <c r="AS6" s="248"/>
      <c r="AT6" s="248"/>
      <c r="AU6" s="249"/>
      <c r="AV6" s="244" t="s">
        <v>26</v>
      </c>
      <c r="AW6" s="247" t="s">
        <v>74</v>
      </c>
      <c r="AX6" s="248"/>
      <c r="AY6" s="248"/>
      <c r="AZ6" s="249"/>
      <c r="BA6" s="244" t="s">
        <v>26</v>
      </c>
      <c r="BB6" s="247" t="s">
        <v>74</v>
      </c>
      <c r="BC6" s="248"/>
      <c r="BD6" s="248"/>
      <c r="BE6" s="249"/>
      <c r="BF6" s="244" t="s">
        <v>26</v>
      </c>
      <c r="BG6" s="247" t="s">
        <v>74</v>
      </c>
      <c r="BH6" s="248"/>
      <c r="BI6" s="248"/>
      <c r="BJ6" s="249"/>
      <c r="BK6" s="244" t="s">
        <v>26</v>
      </c>
      <c r="BL6" s="247" t="s">
        <v>74</v>
      </c>
      <c r="BM6" s="248"/>
      <c r="BN6" s="248"/>
      <c r="BO6" s="249"/>
      <c r="BP6" s="244" t="s">
        <v>26</v>
      </c>
      <c r="BQ6" s="247" t="s">
        <v>74</v>
      </c>
      <c r="BR6" s="248"/>
      <c r="BS6" s="248"/>
      <c r="BT6" s="249"/>
    </row>
    <row r="7" spans="1:72" ht="38.25" customHeight="1" x14ac:dyDescent="0.25">
      <c r="A7" s="260"/>
      <c r="B7" s="263"/>
      <c r="C7" s="245"/>
      <c r="D7" s="250" t="s">
        <v>75</v>
      </c>
      <c r="E7" s="251"/>
      <c r="F7" s="250" t="s">
        <v>76</v>
      </c>
      <c r="G7" s="252"/>
      <c r="H7" s="245"/>
      <c r="I7" s="250" t="s">
        <v>75</v>
      </c>
      <c r="J7" s="251"/>
      <c r="K7" s="250" t="s">
        <v>76</v>
      </c>
      <c r="L7" s="252"/>
      <c r="M7" s="245"/>
      <c r="N7" s="250" t="s">
        <v>75</v>
      </c>
      <c r="O7" s="251"/>
      <c r="P7" s="250" t="s">
        <v>76</v>
      </c>
      <c r="Q7" s="252"/>
      <c r="R7" s="245"/>
      <c r="S7" s="250" t="s">
        <v>75</v>
      </c>
      <c r="T7" s="251"/>
      <c r="U7" s="250" t="s">
        <v>76</v>
      </c>
      <c r="V7" s="252"/>
      <c r="W7" s="245"/>
      <c r="X7" s="250" t="s">
        <v>75</v>
      </c>
      <c r="Y7" s="251"/>
      <c r="Z7" s="250" t="s">
        <v>76</v>
      </c>
      <c r="AA7" s="252"/>
      <c r="AB7" s="245"/>
      <c r="AC7" s="250" t="s">
        <v>75</v>
      </c>
      <c r="AD7" s="251"/>
      <c r="AE7" s="250" t="s">
        <v>76</v>
      </c>
      <c r="AF7" s="252"/>
      <c r="AG7" s="245"/>
      <c r="AH7" s="250" t="s">
        <v>75</v>
      </c>
      <c r="AI7" s="251"/>
      <c r="AJ7" s="250" t="s">
        <v>76</v>
      </c>
      <c r="AK7" s="252"/>
      <c r="AL7" s="245"/>
      <c r="AM7" s="250" t="s">
        <v>75</v>
      </c>
      <c r="AN7" s="251"/>
      <c r="AO7" s="250" t="s">
        <v>76</v>
      </c>
      <c r="AP7" s="252"/>
      <c r="AQ7" s="245"/>
      <c r="AR7" s="250" t="s">
        <v>75</v>
      </c>
      <c r="AS7" s="251"/>
      <c r="AT7" s="250" t="s">
        <v>76</v>
      </c>
      <c r="AU7" s="252"/>
      <c r="AV7" s="245"/>
      <c r="AW7" s="250" t="s">
        <v>75</v>
      </c>
      <c r="AX7" s="251"/>
      <c r="AY7" s="250" t="s">
        <v>76</v>
      </c>
      <c r="AZ7" s="252"/>
      <c r="BA7" s="245"/>
      <c r="BB7" s="250" t="s">
        <v>75</v>
      </c>
      <c r="BC7" s="251"/>
      <c r="BD7" s="250" t="s">
        <v>76</v>
      </c>
      <c r="BE7" s="252"/>
      <c r="BF7" s="245"/>
      <c r="BG7" s="250" t="s">
        <v>75</v>
      </c>
      <c r="BH7" s="251"/>
      <c r="BI7" s="250" t="s">
        <v>76</v>
      </c>
      <c r="BJ7" s="252"/>
      <c r="BK7" s="245"/>
      <c r="BL7" s="250" t="s">
        <v>75</v>
      </c>
      <c r="BM7" s="251"/>
      <c r="BN7" s="250" t="s">
        <v>76</v>
      </c>
      <c r="BO7" s="252"/>
      <c r="BP7" s="245"/>
      <c r="BQ7" s="250" t="s">
        <v>75</v>
      </c>
      <c r="BR7" s="251"/>
      <c r="BS7" s="250" t="s">
        <v>76</v>
      </c>
      <c r="BT7" s="252"/>
    </row>
    <row r="8" spans="1:72" s="8" customFormat="1" ht="18.75" customHeight="1" thickBot="1" x14ac:dyDescent="0.3">
      <c r="A8" s="261"/>
      <c r="B8" s="264"/>
      <c r="C8" s="246"/>
      <c r="D8" s="57" t="s">
        <v>32</v>
      </c>
      <c r="E8" s="58" t="s">
        <v>33</v>
      </c>
      <c r="F8" s="59" t="s">
        <v>32</v>
      </c>
      <c r="G8" s="60" t="s">
        <v>33</v>
      </c>
      <c r="H8" s="246"/>
      <c r="I8" s="57" t="s">
        <v>32</v>
      </c>
      <c r="J8" s="58" t="s">
        <v>33</v>
      </c>
      <c r="K8" s="59" t="s">
        <v>32</v>
      </c>
      <c r="L8" s="60" t="s">
        <v>33</v>
      </c>
      <c r="M8" s="246"/>
      <c r="N8" s="57" t="s">
        <v>32</v>
      </c>
      <c r="O8" s="58" t="s">
        <v>33</v>
      </c>
      <c r="P8" s="59" t="s">
        <v>32</v>
      </c>
      <c r="Q8" s="60" t="s">
        <v>33</v>
      </c>
      <c r="R8" s="246"/>
      <c r="S8" s="57" t="s">
        <v>32</v>
      </c>
      <c r="T8" s="58" t="s">
        <v>33</v>
      </c>
      <c r="U8" s="59" t="s">
        <v>32</v>
      </c>
      <c r="V8" s="60" t="s">
        <v>33</v>
      </c>
      <c r="W8" s="246"/>
      <c r="X8" s="57" t="s">
        <v>32</v>
      </c>
      <c r="Y8" s="58" t="s">
        <v>33</v>
      </c>
      <c r="Z8" s="59" t="s">
        <v>32</v>
      </c>
      <c r="AA8" s="60" t="s">
        <v>33</v>
      </c>
      <c r="AB8" s="246"/>
      <c r="AC8" s="57" t="s">
        <v>32</v>
      </c>
      <c r="AD8" s="58" t="s">
        <v>33</v>
      </c>
      <c r="AE8" s="59" t="s">
        <v>32</v>
      </c>
      <c r="AF8" s="60" t="s">
        <v>33</v>
      </c>
      <c r="AG8" s="246"/>
      <c r="AH8" s="57" t="s">
        <v>32</v>
      </c>
      <c r="AI8" s="58" t="s">
        <v>33</v>
      </c>
      <c r="AJ8" s="59" t="s">
        <v>32</v>
      </c>
      <c r="AK8" s="61" t="s">
        <v>33</v>
      </c>
      <c r="AL8" s="246"/>
      <c r="AM8" s="57" t="s">
        <v>32</v>
      </c>
      <c r="AN8" s="58" t="s">
        <v>33</v>
      </c>
      <c r="AO8" s="59" t="s">
        <v>32</v>
      </c>
      <c r="AP8" s="61" t="s">
        <v>33</v>
      </c>
      <c r="AQ8" s="246"/>
      <c r="AR8" s="57" t="s">
        <v>32</v>
      </c>
      <c r="AS8" s="58" t="s">
        <v>33</v>
      </c>
      <c r="AT8" s="59" t="s">
        <v>32</v>
      </c>
      <c r="AU8" s="61" t="s">
        <v>33</v>
      </c>
      <c r="AV8" s="246"/>
      <c r="AW8" s="57" t="s">
        <v>32</v>
      </c>
      <c r="AX8" s="58" t="s">
        <v>33</v>
      </c>
      <c r="AY8" s="59" t="s">
        <v>32</v>
      </c>
      <c r="AZ8" s="61" t="s">
        <v>33</v>
      </c>
      <c r="BA8" s="246"/>
      <c r="BB8" s="57" t="s">
        <v>32</v>
      </c>
      <c r="BC8" s="58" t="s">
        <v>33</v>
      </c>
      <c r="BD8" s="59" t="s">
        <v>32</v>
      </c>
      <c r="BE8" s="61" t="s">
        <v>33</v>
      </c>
      <c r="BF8" s="246"/>
      <c r="BG8" s="57" t="s">
        <v>32</v>
      </c>
      <c r="BH8" s="58" t="s">
        <v>33</v>
      </c>
      <c r="BI8" s="59" t="s">
        <v>32</v>
      </c>
      <c r="BJ8" s="61" t="s">
        <v>33</v>
      </c>
      <c r="BK8" s="246"/>
      <c r="BL8" s="57" t="s">
        <v>32</v>
      </c>
      <c r="BM8" s="58" t="s">
        <v>33</v>
      </c>
      <c r="BN8" s="59" t="s">
        <v>32</v>
      </c>
      <c r="BO8" s="61" t="s">
        <v>33</v>
      </c>
      <c r="BP8" s="246"/>
      <c r="BQ8" s="57" t="s">
        <v>32</v>
      </c>
      <c r="BR8" s="58" t="s">
        <v>33</v>
      </c>
      <c r="BS8" s="59" t="s">
        <v>32</v>
      </c>
      <c r="BT8" s="61" t="s">
        <v>33</v>
      </c>
    </row>
    <row r="9" spans="1:72" s="70" customFormat="1" ht="15" customHeight="1" thickBot="1" x14ac:dyDescent="0.3">
      <c r="A9" s="71">
        <v>1</v>
      </c>
      <c r="B9" s="72">
        <v>2</v>
      </c>
      <c r="C9" s="73">
        <v>3</v>
      </c>
      <c r="D9" s="74">
        <v>4</v>
      </c>
      <c r="E9" s="75">
        <v>5</v>
      </c>
      <c r="F9" s="74">
        <v>6</v>
      </c>
      <c r="G9" s="76">
        <v>7</v>
      </c>
      <c r="H9" s="66">
        <v>8</v>
      </c>
      <c r="I9" s="67">
        <v>9</v>
      </c>
      <c r="J9" s="68">
        <v>10</v>
      </c>
      <c r="K9" s="67">
        <v>11</v>
      </c>
      <c r="L9" s="69">
        <v>12</v>
      </c>
      <c r="M9" s="66" t="s">
        <v>51</v>
      </c>
      <c r="N9" s="67" t="s">
        <v>52</v>
      </c>
      <c r="O9" s="68" t="s">
        <v>53</v>
      </c>
      <c r="P9" s="67" t="s">
        <v>54</v>
      </c>
      <c r="Q9" s="69" t="s">
        <v>55</v>
      </c>
      <c r="R9" s="73">
        <v>8</v>
      </c>
      <c r="S9" s="79">
        <v>9</v>
      </c>
      <c r="T9" s="80">
        <v>10</v>
      </c>
      <c r="U9" s="79">
        <v>11</v>
      </c>
      <c r="V9" s="81">
        <v>12</v>
      </c>
      <c r="W9" s="78">
        <v>13</v>
      </c>
      <c r="X9" s="79">
        <v>14</v>
      </c>
      <c r="Y9" s="80">
        <v>15</v>
      </c>
      <c r="Z9" s="79">
        <v>16</v>
      </c>
      <c r="AA9" s="81">
        <v>17</v>
      </c>
      <c r="AB9" s="78">
        <v>18</v>
      </c>
      <c r="AC9" s="79">
        <v>19</v>
      </c>
      <c r="AD9" s="80">
        <v>20</v>
      </c>
      <c r="AE9" s="79">
        <v>21</v>
      </c>
      <c r="AF9" s="82">
        <v>22</v>
      </c>
      <c r="AG9" s="78">
        <v>23</v>
      </c>
      <c r="AH9" s="74">
        <v>24</v>
      </c>
      <c r="AI9" s="75">
        <v>25</v>
      </c>
      <c r="AJ9" s="74">
        <v>26</v>
      </c>
      <c r="AK9" s="77">
        <v>27</v>
      </c>
      <c r="AL9" s="73">
        <v>28</v>
      </c>
      <c r="AM9" s="74">
        <v>29</v>
      </c>
      <c r="AN9" s="75">
        <v>30</v>
      </c>
      <c r="AO9" s="74">
        <v>31</v>
      </c>
      <c r="AP9" s="77">
        <v>32</v>
      </c>
      <c r="AQ9" s="73">
        <v>33</v>
      </c>
      <c r="AR9" s="74">
        <v>34</v>
      </c>
      <c r="AS9" s="75">
        <v>35</v>
      </c>
      <c r="AT9" s="74">
        <v>36</v>
      </c>
      <c r="AU9" s="77">
        <v>37</v>
      </c>
      <c r="AV9" s="73">
        <v>38</v>
      </c>
      <c r="AW9" s="74">
        <v>39</v>
      </c>
      <c r="AX9" s="75">
        <v>40</v>
      </c>
      <c r="AY9" s="74">
        <v>41</v>
      </c>
      <c r="AZ9" s="77">
        <v>42</v>
      </c>
      <c r="BA9" s="73">
        <v>43</v>
      </c>
      <c r="BB9" s="74">
        <v>44</v>
      </c>
      <c r="BC9" s="75">
        <v>45</v>
      </c>
      <c r="BD9" s="74">
        <v>46</v>
      </c>
      <c r="BE9" s="77">
        <v>47</v>
      </c>
      <c r="BF9" s="73">
        <v>48</v>
      </c>
      <c r="BG9" s="74">
        <v>49</v>
      </c>
      <c r="BH9" s="75">
        <v>50</v>
      </c>
      <c r="BI9" s="74">
        <v>51</v>
      </c>
      <c r="BJ9" s="77">
        <v>52</v>
      </c>
      <c r="BK9" s="73">
        <v>53</v>
      </c>
      <c r="BL9" s="74">
        <v>54</v>
      </c>
      <c r="BM9" s="75">
        <v>55</v>
      </c>
      <c r="BN9" s="74">
        <v>56</v>
      </c>
      <c r="BO9" s="77">
        <v>57</v>
      </c>
      <c r="BP9" s="73">
        <v>53</v>
      </c>
      <c r="BQ9" s="74">
        <v>54</v>
      </c>
      <c r="BR9" s="75">
        <v>55</v>
      </c>
      <c r="BS9" s="74">
        <v>56</v>
      </c>
      <c r="BT9" s="77">
        <v>57</v>
      </c>
    </row>
    <row r="10" spans="1:72" ht="51.9" customHeight="1" x14ac:dyDescent="0.25">
      <c r="A10" s="17">
        <v>1</v>
      </c>
      <c r="B10" s="18" t="s">
        <v>49</v>
      </c>
      <c r="C10" s="19">
        <v>341</v>
      </c>
      <c r="D10" s="20">
        <f>C10-F10</f>
        <v>219</v>
      </c>
      <c r="E10" s="21">
        <f>D10*100/C10</f>
        <v>64.222873900293251</v>
      </c>
      <c r="F10" s="20">
        <v>122</v>
      </c>
      <c r="G10" s="22">
        <f>F10*100/C10</f>
        <v>35.777126099706742</v>
      </c>
      <c r="H10" s="19" t="e">
        <f>Grunddaten!#REF!</f>
        <v>#REF!</v>
      </c>
      <c r="I10" s="20" t="e">
        <f>H10-K10</f>
        <v>#REF!</v>
      </c>
      <c r="J10" s="23" t="e">
        <f>I10*100/H10</f>
        <v>#REF!</v>
      </c>
      <c r="K10" s="20" t="e">
        <f>Grunddaten!#REF!</f>
        <v>#REF!</v>
      </c>
      <c r="L10" s="22" t="e">
        <f>K10*100/H10</f>
        <v>#REF!</v>
      </c>
      <c r="M10" s="19" t="e">
        <f>Grunddaten!#REF!</f>
        <v>#REF!</v>
      </c>
      <c r="N10" s="20" t="e">
        <f>M10-P10</f>
        <v>#REF!</v>
      </c>
      <c r="O10" s="23" t="e">
        <f>N10*100/M10</f>
        <v>#REF!</v>
      </c>
      <c r="P10" s="20">
        <v>154</v>
      </c>
      <c r="Q10" s="22" t="e">
        <f>P10*100/M10</f>
        <v>#REF!</v>
      </c>
      <c r="R10" s="19" t="e">
        <f>Grunddaten!#REF!</f>
        <v>#REF!</v>
      </c>
      <c r="S10" s="20" t="e">
        <f>R10-U10</f>
        <v>#REF!</v>
      </c>
      <c r="T10" s="23" t="e">
        <f>S10*100/R10</f>
        <v>#REF!</v>
      </c>
      <c r="U10" s="20">
        <v>164</v>
      </c>
      <c r="V10" s="22" t="e">
        <f>U10*100/R10</f>
        <v>#REF!</v>
      </c>
      <c r="W10" s="19" t="e">
        <f>Grunddaten!#REF!</f>
        <v>#REF!</v>
      </c>
      <c r="X10" s="20" t="e">
        <f t="shared" ref="X10:X17" si="0">W10-Z10</f>
        <v>#REF!</v>
      </c>
      <c r="Y10" s="23" t="e">
        <f>X10*100/W10</f>
        <v>#REF!</v>
      </c>
      <c r="Z10" s="20" t="e">
        <f>Grunddaten!#REF!</f>
        <v>#REF!</v>
      </c>
      <c r="AA10" s="22" t="e">
        <f>Z10*100/W10</f>
        <v>#REF!</v>
      </c>
      <c r="AB10" s="19" t="e">
        <f>Grunddaten!#REF!</f>
        <v>#REF!</v>
      </c>
      <c r="AC10" s="20" t="e">
        <f>AB10-AE10</f>
        <v>#REF!</v>
      </c>
      <c r="AD10" s="23" t="e">
        <f>AC10*100/AB10</f>
        <v>#REF!</v>
      </c>
      <c r="AE10" s="20" t="e">
        <f>Grunddaten!#REF!</f>
        <v>#REF!</v>
      </c>
      <c r="AF10" s="24" t="e">
        <f>AE10*100/AB10</f>
        <v>#REF!</v>
      </c>
      <c r="AG10" s="19">
        <v>344</v>
      </c>
      <c r="AH10" s="20">
        <v>197</v>
      </c>
      <c r="AI10" s="23">
        <f>AH10*100/AG10</f>
        <v>57.267441860465119</v>
      </c>
      <c r="AJ10" s="20">
        <v>147</v>
      </c>
      <c r="AK10" s="24">
        <f>AJ10*100/AG10</f>
        <v>42.732558139534881</v>
      </c>
      <c r="AL10" s="62">
        <v>343</v>
      </c>
      <c r="AM10" s="65">
        <f>AL10-AO10</f>
        <v>201</v>
      </c>
      <c r="AN10" s="23">
        <f>AM10*100/AL10</f>
        <v>58.600583090379011</v>
      </c>
      <c r="AO10" s="20">
        <v>142</v>
      </c>
      <c r="AP10" s="24">
        <f>AO10*100/AL10</f>
        <v>41.399416909620989</v>
      </c>
      <c r="AQ10" s="62">
        <v>338</v>
      </c>
      <c r="AR10" s="65">
        <f>AQ10-AT10</f>
        <v>198</v>
      </c>
      <c r="AS10" s="23">
        <f>AR10*100/AQ10</f>
        <v>58.579881656804737</v>
      </c>
      <c r="AT10" s="20">
        <v>140</v>
      </c>
      <c r="AU10" s="24">
        <f>AT10*100/AQ10</f>
        <v>41.420118343195263</v>
      </c>
      <c r="AV10" s="62">
        <v>340</v>
      </c>
      <c r="AW10" s="65">
        <f>AV10-AY10</f>
        <v>200</v>
      </c>
      <c r="AX10" s="23">
        <f>AW10*100/AV10</f>
        <v>58.823529411764703</v>
      </c>
      <c r="AY10" s="20">
        <v>140</v>
      </c>
      <c r="AZ10" s="24">
        <f>AY10*100/AV10</f>
        <v>41.176470588235297</v>
      </c>
      <c r="BA10" s="62">
        <v>298</v>
      </c>
      <c r="BB10" s="92">
        <f t="shared" ref="BB10:BB17" si="1">BA10-BD10</f>
        <v>176</v>
      </c>
      <c r="BC10" s="23">
        <f>BB10*100/BA10</f>
        <v>59.060402684563755</v>
      </c>
      <c r="BD10" s="20">
        <v>122</v>
      </c>
      <c r="BE10" s="24">
        <f>BD10*100/BA10</f>
        <v>40.939597315436245</v>
      </c>
      <c r="BF10" s="62">
        <v>280</v>
      </c>
      <c r="BG10" s="92">
        <f t="shared" ref="BG10:BG16" si="2">BF10-BI10</f>
        <v>166</v>
      </c>
      <c r="BH10" s="23">
        <f>BG10*100/BF10</f>
        <v>59.285714285714285</v>
      </c>
      <c r="BI10" s="20">
        <v>114</v>
      </c>
      <c r="BJ10" s="24">
        <f>BI10*100/BF10</f>
        <v>40.714285714285715</v>
      </c>
      <c r="BK10" s="62">
        <v>246</v>
      </c>
      <c r="BL10" s="92">
        <f t="shared" ref="BL10:BL16" si="3">BK10-BN10</f>
        <v>146</v>
      </c>
      <c r="BM10" s="23">
        <f>BL10*100/BK10</f>
        <v>59.349593495934961</v>
      </c>
      <c r="BN10" s="20">
        <v>100</v>
      </c>
      <c r="BO10" s="24">
        <f>BN10*100/BK10</f>
        <v>40.650406504065039</v>
      </c>
      <c r="BP10" s="62">
        <v>194</v>
      </c>
      <c r="BQ10" s="92">
        <f t="shared" ref="BQ10:BQ16" si="4">BP10-BS10</f>
        <v>119</v>
      </c>
      <c r="BR10" s="23">
        <f>BQ10*100/BP10</f>
        <v>61.340206185567013</v>
      </c>
      <c r="BS10" s="20">
        <v>75</v>
      </c>
      <c r="BT10" s="24">
        <f>BS10*100/BP10</f>
        <v>38.659793814432987</v>
      </c>
    </row>
    <row r="11" spans="1:72" ht="51.9" customHeight="1" x14ac:dyDescent="0.25">
      <c r="A11" s="25">
        <f t="shared" ref="A11:A17" si="5">A10+1</f>
        <v>2</v>
      </c>
      <c r="B11" s="26" t="s">
        <v>10</v>
      </c>
      <c r="C11" s="25">
        <v>419</v>
      </c>
      <c r="D11" s="27" t="e">
        <f t="shared" ref="D11:D17" si="6">C11-F11</f>
        <v>#REF!</v>
      </c>
      <c r="E11" s="28" t="e">
        <f t="shared" ref="E11:E18" si="7">D11*100/C11</f>
        <v>#REF!</v>
      </c>
      <c r="F11" s="27" t="e">
        <f>Grunddaten!#REF!</f>
        <v>#REF!</v>
      </c>
      <c r="G11" s="1" t="e">
        <f t="shared" ref="G11:G18" si="8">F11*100/C11</f>
        <v>#REF!</v>
      </c>
      <c r="H11" s="25" t="e">
        <f>Grunddaten!#REF!</f>
        <v>#REF!</v>
      </c>
      <c r="I11" s="27" t="e">
        <f t="shared" ref="I11:I17" si="9">H11-K11</f>
        <v>#REF!</v>
      </c>
      <c r="J11" s="29" t="e">
        <f t="shared" ref="J11:J18" si="10">I11*100/H11</f>
        <v>#REF!</v>
      </c>
      <c r="K11" s="27" t="e">
        <f>Grunddaten!#REF!</f>
        <v>#REF!</v>
      </c>
      <c r="L11" s="1" t="e">
        <f t="shared" ref="L11:L18" si="11">K11*100/H11</f>
        <v>#REF!</v>
      </c>
      <c r="M11" s="25" t="e">
        <f>Grunddaten!#REF!</f>
        <v>#REF!</v>
      </c>
      <c r="N11" s="27" t="e">
        <f>M11-P11</f>
        <v>#REF!</v>
      </c>
      <c r="O11" s="29" t="e">
        <f t="shared" ref="O11:O18" si="12">N11*100/M11</f>
        <v>#REF!</v>
      </c>
      <c r="P11" s="27">
        <v>191</v>
      </c>
      <c r="Q11" s="1" t="e">
        <f t="shared" ref="Q11:Q18" si="13">P11*100/M11</f>
        <v>#REF!</v>
      </c>
      <c r="R11" s="25" t="e">
        <f>Grunddaten!#REF!</f>
        <v>#REF!</v>
      </c>
      <c r="S11" s="27" t="e">
        <f>R11-U11</f>
        <v>#REF!</v>
      </c>
      <c r="T11" s="29" t="e">
        <f t="shared" ref="T11:T18" si="14">S11*100/R11</f>
        <v>#REF!</v>
      </c>
      <c r="U11" s="27">
        <v>180</v>
      </c>
      <c r="V11" s="1" t="e">
        <f t="shared" ref="V11:V18" si="15">U11*100/R11</f>
        <v>#REF!</v>
      </c>
      <c r="W11" s="25" t="e">
        <f>Grunddaten!#REF!</f>
        <v>#REF!</v>
      </c>
      <c r="X11" s="27" t="e">
        <f t="shared" si="0"/>
        <v>#REF!</v>
      </c>
      <c r="Y11" s="29" t="e">
        <f t="shared" ref="Y11:Y18" si="16">X11*100/W11</f>
        <v>#REF!</v>
      </c>
      <c r="Z11" s="27" t="e">
        <f>Grunddaten!#REF!</f>
        <v>#REF!</v>
      </c>
      <c r="AA11" s="1" t="e">
        <f t="shared" ref="AA11:AA18" si="17">Z11*100/W11</f>
        <v>#REF!</v>
      </c>
      <c r="AB11" s="25" t="e">
        <f>Grunddaten!#REF!</f>
        <v>#REF!</v>
      </c>
      <c r="AC11" s="27" t="e">
        <f t="shared" ref="AC11:AC17" si="18">AB11-AE11</f>
        <v>#REF!</v>
      </c>
      <c r="AD11" s="29" t="e">
        <f t="shared" ref="AD11:AD18" si="19">AC11*100/AB11</f>
        <v>#REF!</v>
      </c>
      <c r="AE11" s="27" t="e">
        <f>Grunddaten!#REF!</f>
        <v>#REF!</v>
      </c>
      <c r="AF11" s="30" t="e">
        <f t="shared" ref="AF11:AF18" si="20">AE11*100/AB11</f>
        <v>#REF!</v>
      </c>
      <c r="AG11" s="25">
        <v>321</v>
      </c>
      <c r="AH11" s="27">
        <v>194</v>
      </c>
      <c r="AI11" s="29">
        <f t="shared" ref="AI11:AI18" si="21">AH11*100/AG11</f>
        <v>60.436137071651089</v>
      </c>
      <c r="AJ11" s="27">
        <v>127</v>
      </c>
      <c r="AK11" s="30">
        <f t="shared" ref="AK11:AK18" si="22">AJ11*100/AG11</f>
        <v>39.563862928348911</v>
      </c>
      <c r="AL11" s="63">
        <v>281</v>
      </c>
      <c r="AM11" s="27">
        <f t="shared" ref="AM11:AM17" si="23">AL11-AO11</f>
        <v>154</v>
      </c>
      <c r="AN11" s="29">
        <f t="shared" ref="AN11:AN18" si="24">AM11*100/AL11</f>
        <v>54.804270462633454</v>
      </c>
      <c r="AO11" s="27">
        <v>127</v>
      </c>
      <c r="AP11" s="30">
        <f t="shared" ref="AP11:AP18" si="25">AO11*100/AL11</f>
        <v>45.195729537366546</v>
      </c>
      <c r="AQ11" s="63">
        <v>228</v>
      </c>
      <c r="AR11" s="27">
        <f t="shared" ref="AR11:AR17" si="26">AQ11-AT11</f>
        <v>132</v>
      </c>
      <c r="AS11" s="29">
        <f t="shared" ref="AS11:AS18" si="27">AR11*100/AQ11</f>
        <v>57.89473684210526</v>
      </c>
      <c r="AT11" s="27">
        <v>96</v>
      </c>
      <c r="AU11" s="30">
        <f t="shared" ref="AU11:AU18" si="28">AT11*100/AQ11</f>
        <v>42.10526315789474</v>
      </c>
      <c r="AV11" s="63">
        <v>219</v>
      </c>
      <c r="AW11" s="92">
        <f t="shared" ref="AW11:AW17" si="29">AV11-AY11</f>
        <v>124</v>
      </c>
      <c r="AX11" s="29">
        <f t="shared" ref="AX11:AX18" si="30">AW11*100/AV11</f>
        <v>56.621004566210047</v>
      </c>
      <c r="AY11" s="27">
        <v>95</v>
      </c>
      <c r="AZ11" s="30">
        <f t="shared" ref="AZ11:AZ17" si="31">AY11*100/AV11</f>
        <v>43.378995433789953</v>
      </c>
      <c r="BA11" s="63">
        <v>181</v>
      </c>
      <c r="BB11" s="92">
        <f t="shared" si="1"/>
        <v>98</v>
      </c>
      <c r="BC11" s="29">
        <f t="shared" ref="BC11:BC18" si="32">BB11*100/BA11</f>
        <v>54.143646408839778</v>
      </c>
      <c r="BD11" s="27">
        <v>83</v>
      </c>
      <c r="BE11" s="30">
        <f t="shared" ref="BE11:BE17" si="33">BD11*100/BA11</f>
        <v>45.856353591160222</v>
      </c>
      <c r="BF11" s="63">
        <v>239</v>
      </c>
      <c r="BG11" s="92">
        <f t="shared" si="2"/>
        <v>132</v>
      </c>
      <c r="BH11" s="29">
        <f t="shared" ref="BH11:BH18" si="34">BG11*100/BF11</f>
        <v>55.230125523012553</v>
      </c>
      <c r="BI11" s="27">
        <v>107</v>
      </c>
      <c r="BJ11" s="30">
        <f t="shared" ref="BJ11:BJ16" si="35">BI11*100/BF11</f>
        <v>44.769874476987447</v>
      </c>
      <c r="BK11" s="63">
        <v>174</v>
      </c>
      <c r="BL11" s="92">
        <f t="shared" si="3"/>
        <v>102</v>
      </c>
      <c r="BM11" s="29">
        <f t="shared" ref="BM11:BM18" si="36">BL11*100/BK11</f>
        <v>58.620689655172413</v>
      </c>
      <c r="BN11" s="27">
        <v>72</v>
      </c>
      <c r="BO11" s="30">
        <f t="shared" ref="BO11:BO16" si="37">BN11*100/BK11</f>
        <v>41.379310344827587</v>
      </c>
      <c r="BP11" s="63">
        <v>116</v>
      </c>
      <c r="BQ11" s="92">
        <f t="shared" si="4"/>
        <v>75</v>
      </c>
      <c r="BR11" s="29">
        <f t="shared" ref="BR11:BR16" si="38">BQ11*100/BP11</f>
        <v>64.65517241379311</v>
      </c>
      <c r="BS11" s="27">
        <v>41</v>
      </c>
      <c r="BT11" s="30">
        <f t="shared" ref="BT11:BT16" si="39">BS11*100/BP11</f>
        <v>35.344827586206897</v>
      </c>
    </row>
    <row r="12" spans="1:72" ht="51.9" customHeight="1" x14ac:dyDescent="0.25">
      <c r="A12" s="25">
        <f t="shared" si="5"/>
        <v>3</v>
      </c>
      <c r="B12" s="31" t="s">
        <v>50</v>
      </c>
      <c r="C12" s="25">
        <v>434</v>
      </c>
      <c r="D12" s="27" t="e">
        <f t="shared" si="6"/>
        <v>#REF!</v>
      </c>
      <c r="E12" s="28" t="e">
        <f t="shared" si="7"/>
        <v>#REF!</v>
      </c>
      <c r="F12" s="27" t="e">
        <f>Grunddaten!#REF!</f>
        <v>#REF!</v>
      </c>
      <c r="G12" s="1" t="e">
        <f t="shared" si="8"/>
        <v>#REF!</v>
      </c>
      <c r="H12" s="25" t="e">
        <f>Grunddaten!#REF!</f>
        <v>#REF!</v>
      </c>
      <c r="I12" s="27" t="e">
        <f t="shared" si="9"/>
        <v>#REF!</v>
      </c>
      <c r="J12" s="29" t="e">
        <f t="shared" si="10"/>
        <v>#REF!</v>
      </c>
      <c r="K12" s="27" t="e">
        <f>Grunddaten!#REF!</f>
        <v>#REF!</v>
      </c>
      <c r="L12" s="1" t="e">
        <f t="shared" si="11"/>
        <v>#REF!</v>
      </c>
      <c r="M12" s="25" t="e">
        <f>Grunddaten!#REF!</f>
        <v>#REF!</v>
      </c>
      <c r="N12" s="27" t="e">
        <f t="shared" ref="N12:N17" si="40">M12-P12</f>
        <v>#REF!</v>
      </c>
      <c r="O12" s="29" t="e">
        <f t="shared" si="12"/>
        <v>#REF!</v>
      </c>
      <c r="P12" s="27">
        <v>205</v>
      </c>
      <c r="Q12" s="1" t="e">
        <f t="shared" si="13"/>
        <v>#REF!</v>
      </c>
      <c r="R12" s="25" t="e">
        <f>Grunddaten!#REF!</f>
        <v>#REF!</v>
      </c>
      <c r="S12" s="27" t="e">
        <f t="shared" ref="S12:S17" si="41">R12-U12</f>
        <v>#REF!</v>
      </c>
      <c r="T12" s="29" t="e">
        <f t="shared" si="14"/>
        <v>#REF!</v>
      </c>
      <c r="U12" s="27">
        <v>211</v>
      </c>
      <c r="V12" s="1" t="e">
        <f t="shared" si="15"/>
        <v>#REF!</v>
      </c>
      <c r="W12" s="25" t="e">
        <f>Grunddaten!#REF!</f>
        <v>#REF!</v>
      </c>
      <c r="X12" s="27" t="e">
        <f t="shared" si="0"/>
        <v>#REF!</v>
      </c>
      <c r="Y12" s="29" t="e">
        <f t="shared" si="16"/>
        <v>#REF!</v>
      </c>
      <c r="Z12" s="27" t="e">
        <f>Grunddaten!#REF!</f>
        <v>#REF!</v>
      </c>
      <c r="AA12" s="1" t="e">
        <f t="shared" si="17"/>
        <v>#REF!</v>
      </c>
      <c r="AB12" s="25" t="e">
        <f>Grunddaten!#REF!</f>
        <v>#REF!</v>
      </c>
      <c r="AC12" s="27" t="e">
        <f t="shared" si="18"/>
        <v>#REF!</v>
      </c>
      <c r="AD12" s="29" t="e">
        <f t="shared" si="19"/>
        <v>#REF!</v>
      </c>
      <c r="AE12" s="27" t="e">
        <f>Grunddaten!#REF!</f>
        <v>#REF!</v>
      </c>
      <c r="AF12" s="30" t="e">
        <f t="shared" si="20"/>
        <v>#REF!</v>
      </c>
      <c r="AG12" s="25">
        <v>341</v>
      </c>
      <c r="AH12" s="27">
        <v>198</v>
      </c>
      <c r="AI12" s="29">
        <f t="shared" si="21"/>
        <v>58.064516129032256</v>
      </c>
      <c r="AJ12" s="27">
        <v>143</v>
      </c>
      <c r="AK12" s="30">
        <f t="shared" si="22"/>
        <v>41.935483870967744</v>
      </c>
      <c r="AL12" s="63">
        <v>329</v>
      </c>
      <c r="AM12" s="27">
        <f t="shared" si="23"/>
        <v>191</v>
      </c>
      <c r="AN12" s="29">
        <f t="shared" si="24"/>
        <v>58.054711246200611</v>
      </c>
      <c r="AO12" s="27">
        <v>138</v>
      </c>
      <c r="AP12" s="30">
        <f t="shared" si="25"/>
        <v>41.945288753799389</v>
      </c>
      <c r="AQ12" s="63">
        <v>284</v>
      </c>
      <c r="AR12" s="27">
        <f t="shared" si="26"/>
        <v>150</v>
      </c>
      <c r="AS12" s="29">
        <f t="shared" si="27"/>
        <v>52.816901408450704</v>
      </c>
      <c r="AT12" s="27">
        <v>134</v>
      </c>
      <c r="AU12" s="30">
        <f t="shared" si="28"/>
        <v>47.183098591549296</v>
      </c>
      <c r="AV12" s="63">
        <v>306</v>
      </c>
      <c r="AW12" s="92">
        <f t="shared" si="29"/>
        <v>168</v>
      </c>
      <c r="AX12" s="29">
        <f t="shared" si="30"/>
        <v>54.901960784313722</v>
      </c>
      <c r="AY12" s="27">
        <v>138</v>
      </c>
      <c r="AZ12" s="30">
        <f t="shared" si="31"/>
        <v>45.098039215686278</v>
      </c>
      <c r="BA12" s="63">
        <v>305</v>
      </c>
      <c r="BB12" s="92">
        <f t="shared" si="1"/>
        <v>176</v>
      </c>
      <c r="BC12" s="29">
        <f t="shared" si="32"/>
        <v>57.704918032786885</v>
      </c>
      <c r="BD12" s="27">
        <v>129</v>
      </c>
      <c r="BE12" s="30">
        <f t="shared" si="33"/>
        <v>42.295081967213115</v>
      </c>
      <c r="BF12" s="63">
        <v>351</v>
      </c>
      <c r="BG12" s="92">
        <f t="shared" si="2"/>
        <v>196</v>
      </c>
      <c r="BH12" s="29">
        <f t="shared" si="34"/>
        <v>55.840455840455839</v>
      </c>
      <c r="BI12" s="27">
        <v>155</v>
      </c>
      <c r="BJ12" s="30">
        <f t="shared" si="35"/>
        <v>44.159544159544161</v>
      </c>
      <c r="BK12" s="63">
        <v>388</v>
      </c>
      <c r="BL12" s="92">
        <f t="shared" si="3"/>
        <v>208</v>
      </c>
      <c r="BM12" s="29">
        <f t="shared" si="36"/>
        <v>53.608247422680414</v>
      </c>
      <c r="BN12" s="27">
        <v>180</v>
      </c>
      <c r="BO12" s="30">
        <f t="shared" si="37"/>
        <v>46.391752577319586</v>
      </c>
      <c r="BP12" s="63">
        <v>385</v>
      </c>
      <c r="BQ12" s="92">
        <f t="shared" si="4"/>
        <v>200</v>
      </c>
      <c r="BR12" s="29">
        <f t="shared" si="38"/>
        <v>51.948051948051948</v>
      </c>
      <c r="BS12" s="27">
        <v>185</v>
      </c>
      <c r="BT12" s="30">
        <f t="shared" si="39"/>
        <v>48.051948051948052</v>
      </c>
    </row>
    <row r="13" spans="1:72" ht="51.9" customHeight="1" x14ac:dyDescent="0.25">
      <c r="A13" s="25">
        <f t="shared" si="5"/>
        <v>4</v>
      </c>
      <c r="B13" s="31" t="s">
        <v>64</v>
      </c>
      <c r="C13" s="25">
        <v>284</v>
      </c>
      <c r="D13" s="32">
        <f t="shared" si="6"/>
        <v>141</v>
      </c>
      <c r="E13" s="33">
        <f t="shared" si="7"/>
        <v>49.647887323943664</v>
      </c>
      <c r="F13" s="32">
        <v>143</v>
      </c>
      <c r="G13" s="34">
        <f t="shared" si="8"/>
        <v>50.352112676056336</v>
      </c>
      <c r="H13" s="25">
        <v>286</v>
      </c>
      <c r="I13" s="32">
        <f t="shared" si="9"/>
        <v>148</v>
      </c>
      <c r="J13" s="35">
        <f t="shared" si="10"/>
        <v>51.748251748251747</v>
      </c>
      <c r="K13" s="32">
        <v>138</v>
      </c>
      <c r="L13" s="34">
        <f t="shared" si="11"/>
        <v>48.251748251748253</v>
      </c>
      <c r="M13" s="25" t="e">
        <f>Grunddaten!#REF!</f>
        <v>#REF!</v>
      </c>
      <c r="N13" s="32" t="e">
        <f t="shared" si="40"/>
        <v>#REF!</v>
      </c>
      <c r="O13" s="35" t="e">
        <f t="shared" si="12"/>
        <v>#REF!</v>
      </c>
      <c r="P13" s="32">
        <v>144</v>
      </c>
      <c r="Q13" s="34" t="e">
        <f t="shared" si="13"/>
        <v>#REF!</v>
      </c>
      <c r="R13" s="25" t="e">
        <f>Grunddaten!#REF!</f>
        <v>#REF!</v>
      </c>
      <c r="S13" s="32" t="e">
        <f t="shared" si="41"/>
        <v>#REF!</v>
      </c>
      <c r="T13" s="35" t="e">
        <f t="shared" si="14"/>
        <v>#REF!</v>
      </c>
      <c r="U13" s="32">
        <v>134</v>
      </c>
      <c r="V13" s="34" t="e">
        <f t="shared" si="15"/>
        <v>#REF!</v>
      </c>
      <c r="W13" s="25" t="e">
        <f>Grunddaten!#REF!</f>
        <v>#REF!</v>
      </c>
      <c r="X13" s="32" t="e">
        <f t="shared" si="0"/>
        <v>#REF!</v>
      </c>
      <c r="Y13" s="35" t="e">
        <f t="shared" si="16"/>
        <v>#REF!</v>
      </c>
      <c r="Z13" s="32" t="e">
        <f>Grunddaten!#REF!</f>
        <v>#REF!</v>
      </c>
      <c r="AA13" s="34" t="e">
        <f t="shared" si="17"/>
        <v>#REF!</v>
      </c>
      <c r="AB13" s="25" t="e">
        <f>Grunddaten!#REF!</f>
        <v>#REF!</v>
      </c>
      <c r="AC13" s="32" t="e">
        <f t="shared" si="18"/>
        <v>#REF!</v>
      </c>
      <c r="AD13" s="35" t="e">
        <f t="shared" si="19"/>
        <v>#REF!</v>
      </c>
      <c r="AE13" s="32" t="e">
        <f>Grunddaten!#REF!</f>
        <v>#REF!</v>
      </c>
      <c r="AF13" s="36" t="e">
        <f t="shared" si="20"/>
        <v>#REF!</v>
      </c>
      <c r="AG13" s="25">
        <v>267</v>
      </c>
      <c r="AH13" s="32">
        <v>143</v>
      </c>
      <c r="AI13" s="35">
        <f t="shared" si="21"/>
        <v>53.558052434456926</v>
      </c>
      <c r="AJ13" s="32">
        <v>124</v>
      </c>
      <c r="AK13" s="36">
        <f t="shared" si="22"/>
        <v>46.441947565543074</v>
      </c>
      <c r="AL13" s="63">
        <v>239</v>
      </c>
      <c r="AM13" s="32">
        <f t="shared" si="23"/>
        <v>126</v>
      </c>
      <c r="AN13" s="35">
        <f t="shared" si="24"/>
        <v>52.719665271966527</v>
      </c>
      <c r="AO13" s="32">
        <v>113</v>
      </c>
      <c r="AP13" s="36">
        <f t="shared" si="25"/>
        <v>47.280334728033473</v>
      </c>
      <c r="AQ13" s="63">
        <v>240</v>
      </c>
      <c r="AR13" s="32">
        <f t="shared" si="26"/>
        <v>118</v>
      </c>
      <c r="AS13" s="35">
        <f t="shared" si="27"/>
        <v>49.166666666666664</v>
      </c>
      <c r="AT13" s="32">
        <v>122</v>
      </c>
      <c r="AU13" s="36">
        <f t="shared" si="28"/>
        <v>50.833333333333336</v>
      </c>
      <c r="AV13" s="63">
        <v>244</v>
      </c>
      <c r="AW13" s="92">
        <f t="shared" si="29"/>
        <v>120</v>
      </c>
      <c r="AX13" s="29">
        <f t="shared" si="30"/>
        <v>49.180327868852459</v>
      </c>
      <c r="AY13" s="32">
        <v>124</v>
      </c>
      <c r="AZ13" s="30">
        <f t="shared" si="31"/>
        <v>50.819672131147541</v>
      </c>
      <c r="BA13" s="63">
        <v>244</v>
      </c>
      <c r="BB13" s="92">
        <f t="shared" si="1"/>
        <v>121</v>
      </c>
      <c r="BC13" s="29">
        <f t="shared" si="32"/>
        <v>49.590163934426229</v>
      </c>
      <c r="BD13" s="32">
        <v>123</v>
      </c>
      <c r="BE13" s="30">
        <f t="shared" si="33"/>
        <v>50.409836065573771</v>
      </c>
      <c r="BF13" s="63">
        <v>238</v>
      </c>
      <c r="BG13" s="92">
        <f t="shared" si="2"/>
        <v>120</v>
      </c>
      <c r="BH13" s="29">
        <f t="shared" si="34"/>
        <v>50.420168067226889</v>
      </c>
      <c r="BI13" s="32">
        <v>118</v>
      </c>
      <c r="BJ13" s="30">
        <f t="shared" si="35"/>
        <v>49.579831932773111</v>
      </c>
      <c r="BK13" s="63">
        <v>227</v>
      </c>
      <c r="BL13" s="92">
        <f t="shared" si="3"/>
        <v>101</v>
      </c>
      <c r="BM13" s="29">
        <f t="shared" si="36"/>
        <v>44.493392070484582</v>
      </c>
      <c r="BN13" s="32">
        <v>126</v>
      </c>
      <c r="BO13" s="30">
        <f t="shared" si="37"/>
        <v>55.506607929515418</v>
      </c>
      <c r="BP13" s="63">
        <v>215</v>
      </c>
      <c r="BQ13" s="92">
        <f t="shared" si="4"/>
        <v>100</v>
      </c>
      <c r="BR13" s="29">
        <f t="shared" si="38"/>
        <v>46.511627906976742</v>
      </c>
      <c r="BS13" s="32">
        <v>115</v>
      </c>
      <c r="BT13" s="30">
        <f t="shared" si="39"/>
        <v>53.488372093023258</v>
      </c>
    </row>
    <row r="14" spans="1:72" ht="51.9" customHeight="1" x14ac:dyDescent="0.25">
      <c r="A14" s="25">
        <f t="shared" si="5"/>
        <v>5</v>
      </c>
      <c r="B14" s="31" t="s">
        <v>11</v>
      </c>
      <c r="C14" s="25">
        <v>635</v>
      </c>
      <c r="D14" s="32">
        <f t="shared" si="6"/>
        <v>356</v>
      </c>
      <c r="E14" s="33">
        <f t="shared" si="7"/>
        <v>56.062992125984252</v>
      </c>
      <c r="F14" s="32">
        <v>279</v>
      </c>
      <c r="G14" s="34">
        <f t="shared" si="8"/>
        <v>43.937007874015748</v>
      </c>
      <c r="H14" s="25" t="e">
        <f>Grunddaten!#REF!</f>
        <v>#REF!</v>
      </c>
      <c r="I14" s="32" t="e">
        <f t="shared" si="9"/>
        <v>#REF!</v>
      </c>
      <c r="J14" s="35" t="e">
        <f t="shared" si="10"/>
        <v>#REF!</v>
      </c>
      <c r="K14" s="32" t="e">
        <f>Grunddaten!#REF!</f>
        <v>#REF!</v>
      </c>
      <c r="L14" s="34" t="e">
        <f t="shared" si="11"/>
        <v>#REF!</v>
      </c>
      <c r="M14" s="25" t="e">
        <f>Grunddaten!#REF!</f>
        <v>#REF!</v>
      </c>
      <c r="N14" s="32" t="e">
        <f t="shared" si="40"/>
        <v>#REF!</v>
      </c>
      <c r="O14" s="35" t="e">
        <f t="shared" si="12"/>
        <v>#REF!</v>
      </c>
      <c r="P14" s="32">
        <v>290</v>
      </c>
      <c r="Q14" s="34" t="e">
        <f t="shared" si="13"/>
        <v>#REF!</v>
      </c>
      <c r="R14" s="25" t="e">
        <f>Grunddaten!#REF!</f>
        <v>#REF!</v>
      </c>
      <c r="S14" s="32" t="e">
        <f t="shared" si="41"/>
        <v>#REF!</v>
      </c>
      <c r="T14" s="35" t="e">
        <f t="shared" si="14"/>
        <v>#REF!</v>
      </c>
      <c r="U14" s="32">
        <v>286</v>
      </c>
      <c r="V14" s="34" t="e">
        <f t="shared" si="15"/>
        <v>#REF!</v>
      </c>
      <c r="W14" s="25" t="e">
        <f>Grunddaten!#REF!</f>
        <v>#REF!</v>
      </c>
      <c r="X14" s="32" t="e">
        <f t="shared" si="0"/>
        <v>#REF!</v>
      </c>
      <c r="Y14" s="35" t="e">
        <f t="shared" si="16"/>
        <v>#REF!</v>
      </c>
      <c r="Z14" s="32" t="e">
        <f>Grunddaten!#REF!</f>
        <v>#REF!</v>
      </c>
      <c r="AA14" s="34" t="e">
        <f t="shared" si="17"/>
        <v>#REF!</v>
      </c>
      <c r="AB14" s="25" t="e">
        <f>Grunddaten!#REF!</f>
        <v>#REF!</v>
      </c>
      <c r="AC14" s="32" t="e">
        <f t="shared" si="18"/>
        <v>#REF!</v>
      </c>
      <c r="AD14" s="35" t="e">
        <f t="shared" si="19"/>
        <v>#REF!</v>
      </c>
      <c r="AE14" s="32" t="e">
        <f>Grunddaten!#REF!</f>
        <v>#REF!</v>
      </c>
      <c r="AF14" s="36" t="e">
        <f t="shared" si="20"/>
        <v>#REF!</v>
      </c>
      <c r="AG14" s="25">
        <v>527</v>
      </c>
      <c r="AH14" s="32">
        <v>308</v>
      </c>
      <c r="AI14" s="35">
        <f t="shared" si="21"/>
        <v>58.444022770398483</v>
      </c>
      <c r="AJ14" s="32">
        <v>219</v>
      </c>
      <c r="AK14" s="36">
        <f t="shared" si="22"/>
        <v>41.555977229601517</v>
      </c>
      <c r="AL14" s="63">
        <v>474</v>
      </c>
      <c r="AM14" s="32">
        <f t="shared" si="23"/>
        <v>285</v>
      </c>
      <c r="AN14" s="35">
        <f t="shared" si="24"/>
        <v>60.12658227848101</v>
      </c>
      <c r="AO14" s="32">
        <v>189</v>
      </c>
      <c r="AP14" s="36">
        <f t="shared" si="25"/>
        <v>39.87341772151899</v>
      </c>
      <c r="AQ14" s="63">
        <v>453</v>
      </c>
      <c r="AR14" s="32">
        <f t="shared" si="26"/>
        <v>279</v>
      </c>
      <c r="AS14" s="35">
        <f t="shared" si="27"/>
        <v>61.589403973509931</v>
      </c>
      <c r="AT14" s="32">
        <v>174</v>
      </c>
      <c r="AU14" s="36">
        <f t="shared" si="28"/>
        <v>38.410596026490069</v>
      </c>
      <c r="AV14" s="63">
        <v>421</v>
      </c>
      <c r="AW14" s="92">
        <f t="shared" si="29"/>
        <v>250</v>
      </c>
      <c r="AX14" s="29">
        <f t="shared" si="30"/>
        <v>59.382422802850357</v>
      </c>
      <c r="AY14" s="32">
        <v>171</v>
      </c>
      <c r="AZ14" s="30">
        <f t="shared" si="31"/>
        <v>40.617577197149643</v>
      </c>
      <c r="BA14" s="63">
        <v>374</v>
      </c>
      <c r="BB14" s="92">
        <f t="shared" si="1"/>
        <v>211</v>
      </c>
      <c r="BC14" s="29">
        <f t="shared" si="32"/>
        <v>56.417112299465238</v>
      </c>
      <c r="BD14" s="32">
        <v>163</v>
      </c>
      <c r="BE14" s="30">
        <f t="shared" si="33"/>
        <v>43.582887700534762</v>
      </c>
      <c r="BF14" s="63">
        <v>349</v>
      </c>
      <c r="BG14" s="92">
        <f t="shared" si="2"/>
        <v>176</v>
      </c>
      <c r="BH14" s="29">
        <f t="shared" si="34"/>
        <v>50.429799426934096</v>
      </c>
      <c r="BI14" s="32">
        <v>173</v>
      </c>
      <c r="BJ14" s="30">
        <f t="shared" si="35"/>
        <v>49.570200573065904</v>
      </c>
      <c r="BK14" s="63">
        <v>324</v>
      </c>
      <c r="BL14" s="92">
        <f t="shared" si="3"/>
        <v>166</v>
      </c>
      <c r="BM14" s="29">
        <f t="shared" si="36"/>
        <v>51.23456790123457</v>
      </c>
      <c r="BN14" s="32">
        <v>158</v>
      </c>
      <c r="BO14" s="30">
        <f t="shared" si="37"/>
        <v>48.76543209876543</v>
      </c>
      <c r="BP14" s="63">
        <v>309</v>
      </c>
      <c r="BQ14" s="92">
        <f t="shared" si="4"/>
        <v>151</v>
      </c>
      <c r="BR14" s="29">
        <f t="shared" si="38"/>
        <v>48.867313915857608</v>
      </c>
      <c r="BS14" s="32">
        <v>158</v>
      </c>
      <c r="BT14" s="30">
        <f t="shared" si="39"/>
        <v>51.132686084142392</v>
      </c>
    </row>
    <row r="15" spans="1:72" ht="51.9" customHeight="1" x14ac:dyDescent="0.25">
      <c r="A15" s="25">
        <f t="shared" si="5"/>
        <v>6</v>
      </c>
      <c r="B15" s="31" t="s">
        <v>12</v>
      </c>
      <c r="C15" s="25">
        <v>326</v>
      </c>
      <c r="D15" s="32">
        <f t="shared" si="6"/>
        <v>198</v>
      </c>
      <c r="E15" s="33">
        <f t="shared" si="7"/>
        <v>60.736196319018404</v>
      </c>
      <c r="F15" s="32">
        <v>128</v>
      </c>
      <c r="G15" s="34">
        <f t="shared" si="8"/>
        <v>39.263803680981596</v>
      </c>
      <c r="H15" s="25">
        <v>403</v>
      </c>
      <c r="I15" s="32">
        <f t="shared" si="9"/>
        <v>224</v>
      </c>
      <c r="J15" s="35">
        <f t="shared" si="10"/>
        <v>55.583126550868485</v>
      </c>
      <c r="K15" s="32">
        <v>179</v>
      </c>
      <c r="L15" s="34">
        <f t="shared" si="11"/>
        <v>44.416873449131515</v>
      </c>
      <c r="M15" s="25" t="e">
        <f>Grunddaten!#REF!</f>
        <v>#REF!</v>
      </c>
      <c r="N15" s="32" t="e">
        <f t="shared" si="40"/>
        <v>#REF!</v>
      </c>
      <c r="O15" s="35" t="e">
        <f t="shared" si="12"/>
        <v>#REF!</v>
      </c>
      <c r="P15" s="32">
        <v>170</v>
      </c>
      <c r="Q15" s="34" t="e">
        <f t="shared" si="13"/>
        <v>#REF!</v>
      </c>
      <c r="R15" s="25" t="e">
        <f>Grunddaten!#REF!</f>
        <v>#REF!</v>
      </c>
      <c r="S15" s="32" t="e">
        <f t="shared" si="41"/>
        <v>#REF!</v>
      </c>
      <c r="T15" s="35" t="e">
        <f t="shared" si="14"/>
        <v>#REF!</v>
      </c>
      <c r="U15" s="32">
        <v>150</v>
      </c>
      <c r="V15" s="34" t="e">
        <f t="shared" si="15"/>
        <v>#REF!</v>
      </c>
      <c r="W15" s="25" t="e">
        <f>Grunddaten!#REF!</f>
        <v>#REF!</v>
      </c>
      <c r="X15" s="32" t="e">
        <f t="shared" si="0"/>
        <v>#REF!</v>
      </c>
      <c r="Y15" s="35" t="e">
        <f t="shared" si="16"/>
        <v>#REF!</v>
      </c>
      <c r="Z15" s="32" t="e">
        <f>Grunddaten!#REF!</f>
        <v>#REF!</v>
      </c>
      <c r="AA15" s="34" t="e">
        <f t="shared" si="17"/>
        <v>#REF!</v>
      </c>
      <c r="AB15" s="25" t="e">
        <f>Grunddaten!#REF!</f>
        <v>#REF!</v>
      </c>
      <c r="AC15" s="32" t="e">
        <f t="shared" si="18"/>
        <v>#REF!</v>
      </c>
      <c r="AD15" s="35" t="e">
        <f t="shared" si="19"/>
        <v>#REF!</v>
      </c>
      <c r="AE15" s="32" t="e">
        <f>Grunddaten!#REF!</f>
        <v>#REF!</v>
      </c>
      <c r="AF15" s="36" t="e">
        <f t="shared" si="20"/>
        <v>#REF!</v>
      </c>
      <c r="AG15" s="25">
        <v>365</v>
      </c>
      <c r="AH15" s="32">
        <v>224</v>
      </c>
      <c r="AI15" s="35">
        <f t="shared" si="21"/>
        <v>61.369863013698627</v>
      </c>
      <c r="AJ15" s="32">
        <v>141</v>
      </c>
      <c r="AK15" s="36">
        <f t="shared" si="22"/>
        <v>38.630136986301373</v>
      </c>
      <c r="AL15" s="63">
        <v>334</v>
      </c>
      <c r="AM15" s="32">
        <f t="shared" si="23"/>
        <v>193</v>
      </c>
      <c r="AN15" s="35">
        <f t="shared" si="24"/>
        <v>57.784431137724553</v>
      </c>
      <c r="AO15" s="32">
        <v>141</v>
      </c>
      <c r="AP15" s="36">
        <f t="shared" si="25"/>
        <v>42.215568862275447</v>
      </c>
      <c r="AQ15" s="63">
        <v>302</v>
      </c>
      <c r="AR15" s="32">
        <f t="shared" si="26"/>
        <v>160</v>
      </c>
      <c r="AS15" s="35">
        <f t="shared" si="27"/>
        <v>52.980132450331126</v>
      </c>
      <c r="AT15" s="32">
        <v>142</v>
      </c>
      <c r="AU15" s="36">
        <f t="shared" si="28"/>
        <v>47.019867549668874</v>
      </c>
      <c r="AV15" s="63">
        <v>264</v>
      </c>
      <c r="AW15" s="92">
        <f t="shared" si="29"/>
        <v>135</v>
      </c>
      <c r="AX15" s="29">
        <f t="shared" si="30"/>
        <v>51.136363636363633</v>
      </c>
      <c r="AY15" s="32">
        <v>129</v>
      </c>
      <c r="AZ15" s="30">
        <f t="shared" si="31"/>
        <v>48.863636363636367</v>
      </c>
      <c r="BA15" s="63">
        <v>246</v>
      </c>
      <c r="BB15" s="92">
        <f t="shared" si="1"/>
        <v>122</v>
      </c>
      <c r="BC15" s="29">
        <f t="shared" si="32"/>
        <v>49.59349593495935</v>
      </c>
      <c r="BD15" s="32">
        <v>124</v>
      </c>
      <c r="BE15" s="30">
        <f t="shared" si="33"/>
        <v>50.40650406504065</v>
      </c>
      <c r="BF15" s="63">
        <v>251</v>
      </c>
      <c r="BG15" s="92">
        <f t="shared" si="2"/>
        <v>139</v>
      </c>
      <c r="BH15" s="29">
        <f t="shared" si="34"/>
        <v>55.378486055776889</v>
      </c>
      <c r="BI15" s="32">
        <v>112</v>
      </c>
      <c r="BJ15" s="30">
        <f t="shared" si="35"/>
        <v>44.621513944223111</v>
      </c>
      <c r="BK15" s="63">
        <v>248</v>
      </c>
      <c r="BL15" s="92">
        <f>BK15-BN15</f>
        <v>135</v>
      </c>
      <c r="BM15" s="29">
        <f t="shared" si="36"/>
        <v>54.435483870967744</v>
      </c>
      <c r="BN15" s="32">
        <v>113</v>
      </c>
      <c r="BO15" s="30">
        <f t="shared" si="37"/>
        <v>45.564516129032256</v>
      </c>
      <c r="BP15" s="63">
        <v>253</v>
      </c>
      <c r="BQ15" s="92">
        <f t="shared" si="4"/>
        <v>143</v>
      </c>
      <c r="BR15" s="29">
        <f t="shared" si="38"/>
        <v>56.521739130434781</v>
      </c>
      <c r="BS15" s="32">
        <v>110</v>
      </c>
      <c r="BT15" s="30">
        <f t="shared" si="39"/>
        <v>43.478260869565219</v>
      </c>
    </row>
    <row r="16" spans="1:72" ht="51.9" customHeight="1" x14ac:dyDescent="0.25">
      <c r="A16" s="25">
        <f t="shared" si="5"/>
        <v>7</v>
      </c>
      <c r="B16" s="31" t="s">
        <v>65</v>
      </c>
      <c r="C16" s="25">
        <v>278</v>
      </c>
      <c r="D16" s="32">
        <f t="shared" si="6"/>
        <v>160</v>
      </c>
      <c r="E16" s="33">
        <f t="shared" si="7"/>
        <v>57.553956834532372</v>
      </c>
      <c r="F16" s="32">
        <v>118</v>
      </c>
      <c r="G16" s="34">
        <f t="shared" si="8"/>
        <v>42.446043165467628</v>
      </c>
      <c r="H16" s="25">
        <v>303</v>
      </c>
      <c r="I16" s="32">
        <f t="shared" si="9"/>
        <v>173</v>
      </c>
      <c r="J16" s="35">
        <f t="shared" si="10"/>
        <v>57.095709570957098</v>
      </c>
      <c r="K16" s="32">
        <v>130</v>
      </c>
      <c r="L16" s="34">
        <f t="shared" si="11"/>
        <v>42.904290429042902</v>
      </c>
      <c r="M16" s="25" t="e">
        <f>Grunddaten!#REF!</f>
        <v>#REF!</v>
      </c>
      <c r="N16" s="32" t="e">
        <f t="shared" si="40"/>
        <v>#REF!</v>
      </c>
      <c r="O16" s="35" t="e">
        <f t="shared" si="12"/>
        <v>#REF!</v>
      </c>
      <c r="P16" s="32">
        <v>129</v>
      </c>
      <c r="Q16" s="34" t="e">
        <f t="shared" si="13"/>
        <v>#REF!</v>
      </c>
      <c r="R16" s="25" t="e">
        <f>Grunddaten!#REF!</f>
        <v>#REF!</v>
      </c>
      <c r="S16" s="32" t="e">
        <f t="shared" si="41"/>
        <v>#REF!</v>
      </c>
      <c r="T16" s="35" t="e">
        <f t="shared" si="14"/>
        <v>#REF!</v>
      </c>
      <c r="U16" s="32">
        <v>141</v>
      </c>
      <c r="V16" s="34" t="e">
        <f t="shared" si="15"/>
        <v>#REF!</v>
      </c>
      <c r="W16" s="25" t="e">
        <f>Grunddaten!#REF!</f>
        <v>#REF!</v>
      </c>
      <c r="X16" s="32" t="e">
        <f t="shared" si="0"/>
        <v>#REF!</v>
      </c>
      <c r="Y16" s="35" t="e">
        <f t="shared" si="16"/>
        <v>#REF!</v>
      </c>
      <c r="Z16" s="32" t="e">
        <f>Grunddaten!#REF!</f>
        <v>#REF!</v>
      </c>
      <c r="AA16" s="34" t="e">
        <f t="shared" si="17"/>
        <v>#REF!</v>
      </c>
      <c r="AB16" s="25" t="e">
        <f>Grunddaten!#REF!</f>
        <v>#REF!</v>
      </c>
      <c r="AC16" s="32" t="e">
        <f t="shared" si="18"/>
        <v>#REF!</v>
      </c>
      <c r="AD16" s="35" t="e">
        <f t="shared" si="19"/>
        <v>#REF!</v>
      </c>
      <c r="AE16" s="32" t="e">
        <f>Grunddaten!#REF!</f>
        <v>#REF!</v>
      </c>
      <c r="AF16" s="36" t="e">
        <f t="shared" si="20"/>
        <v>#REF!</v>
      </c>
      <c r="AG16" s="25">
        <v>322</v>
      </c>
      <c r="AH16" s="32">
        <v>171</v>
      </c>
      <c r="AI16" s="35">
        <f t="shared" si="21"/>
        <v>53.105590062111801</v>
      </c>
      <c r="AJ16" s="32">
        <v>151</v>
      </c>
      <c r="AK16" s="36">
        <f t="shared" si="22"/>
        <v>46.894409937888199</v>
      </c>
      <c r="AL16" s="63">
        <v>321</v>
      </c>
      <c r="AM16" s="32">
        <f t="shared" si="23"/>
        <v>161</v>
      </c>
      <c r="AN16" s="35">
        <f t="shared" si="24"/>
        <v>50.155763239875391</v>
      </c>
      <c r="AO16" s="32">
        <v>160</v>
      </c>
      <c r="AP16" s="36">
        <f t="shared" si="25"/>
        <v>49.844236760124609</v>
      </c>
      <c r="AQ16" s="63">
        <v>317</v>
      </c>
      <c r="AR16" s="32">
        <f t="shared" si="26"/>
        <v>163</v>
      </c>
      <c r="AS16" s="35">
        <f t="shared" si="27"/>
        <v>51.419558359621448</v>
      </c>
      <c r="AT16" s="32">
        <v>154</v>
      </c>
      <c r="AU16" s="36">
        <f t="shared" si="28"/>
        <v>48.580441640378552</v>
      </c>
      <c r="AV16" s="63">
        <v>290</v>
      </c>
      <c r="AW16" s="92">
        <f t="shared" si="29"/>
        <v>153</v>
      </c>
      <c r="AX16" s="29">
        <f t="shared" si="30"/>
        <v>52.758620689655174</v>
      </c>
      <c r="AY16" s="32">
        <v>137</v>
      </c>
      <c r="AZ16" s="30">
        <f t="shared" si="31"/>
        <v>47.241379310344826</v>
      </c>
      <c r="BA16" s="63">
        <v>271</v>
      </c>
      <c r="BB16" s="92">
        <f t="shared" si="1"/>
        <v>154</v>
      </c>
      <c r="BC16" s="29">
        <f t="shared" si="32"/>
        <v>56.82656826568266</v>
      </c>
      <c r="BD16" s="32">
        <v>117</v>
      </c>
      <c r="BE16" s="30">
        <f t="shared" si="33"/>
        <v>43.17343173431734</v>
      </c>
      <c r="BF16" s="63">
        <v>274</v>
      </c>
      <c r="BG16" s="92">
        <f t="shared" si="2"/>
        <v>152</v>
      </c>
      <c r="BH16" s="29">
        <f t="shared" si="34"/>
        <v>55.474452554744524</v>
      </c>
      <c r="BI16" s="32">
        <v>122</v>
      </c>
      <c r="BJ16" s="30">
        <f t="shared" si="35"/>
        <v>44.525547445255476</v>
      </c>
      <c r="BK16" s="63">
        <v>246</v>
      </c>
      <c r="BL16" s="92">
        <f t="shared" si="3"/>
        <v>145</v>
      </c>
      <c r="BM16" s="29">
        <f t="shared" si="36"/>
        <v>58.943089430894311</v>
      </c>
      <c r="BN16" s="32">
        <v>101</v>
      </c>
      <c r="BO16" s="30">
        <f t="shared" si="37"/>
        <v>41.056910569105689</v>
      </c>
      <c r="BP16" s="63">
        <v>248</v>
      </c>
      <c r="BQ16" s="92">
        <f t="shared" si="4"/>
        <v>148</v>
      </c>
      <c r="BR16" s="29">
        <f t="shared" si="38"/>
        <v>59.677419354838712</v>
      </c>
      <c r="BS16" s="32">
        <v>100</v>
      </c>
      <c r="BT16" s="30">
        <f t="shared" si="39"/>
        <v>40.322580645161288</v>
      </c>
    </row>
    <row r="17" spans="1:72" ht="51.9" customHeight="1" thickBot="1" x14ac:dyDescent="0.3">
      <c r="A17" s="37">
        <f t="shared" si="5"/>
        <v>8</v>
      </c>
      <c r="B17" s="45" t="s">
        <v>48</v>
      </c>
      <c r="C17" s="37">
        <v>259</v>
      </c>
      <c r="D17" s="38">
        <f t="shared" si="6"/>
        <v>167</v>
      </c>
      <c r="E17" s="39">
        <f t="shared" si="7"/>
        <v>64.478764478764475</v>
      </c>
      <c r="F17" s="38">
        <v>92</v>
      </c>
      <c r="G17" s="40">
        <f t="shared" si="8"/>
        <v>35.521235521235518</v>
      </c>
      <c r="H17" s="37" t="e">
        <f>Grunddaten!#REF!</f>
        <v>#REF!</v>
      </c>
      <c r="I17" s="38" t="e">
        <f t="shared" si="9"/>
        <v>#REF!</v>
      </c>
      <c r="J17" s="41" t="e">
        <f t="shared" si="10"/>
        <v>#REF!</v>
      </c>
      <c r="K17" s="38" t="e">
        <f>Grunddaten!#REF!</f>
        <v>#REF!</v>
      </c>
      <c r="L17" s="40" t="e">
        <f t="shared" si="11"/>
        <v>#REF!</v>
      </c>
      <c r="M17" s="37" t="e">
        <f>Grunddaten!#REF!</f>
        <v>#REF!</v>
      </c>
      <c r="N17" s="38" t="e">
        <f t="shared" si="40"/>
        <v>#REF!</v>
      </c>
      <c r="O17" s="41" t="e">
        <f t="shared" si="12"/>
        <v>#REF!</v>
      </c>
      <c r="P17" s="38">
        <v>119</v>
      </c>
      <c r="Q17" s="40" t="e">
        <f t="shared" si="13"/>
        <v>#REF!</v>
      </c>
      <c r="R17" s="37" t="e">
        <f>Grunddaten!#REF!</f>
        <v>#REF!</v>
      </c>
      <c r="S17" s="38" t="e">
        <f t="shared" si="41"/>
        <v>#REF!</v>
      </c>
      <c r="T17" s="41" t="e">
        <f t="shared" si="14"/>
        <v>#REF!</v>
      </c>
      <c r="U17" s="38">
        <v>118</v>
      </c>
      <c r="V17" s="40" t="e">
        <f t="shared" si="15"/>
        <v>#REF!</v>
      </c>
      <c r="W17" s="37" t="e">
        <f>Grunddaten!#REF!</f>
        <v>#REF!</v>
      </c>
      <c r="X17" s="38" t="e">
        <f t="shared" si="0"/>
        <v>#REF!</v>
      </c>
      <c r="Y17" s="41" t="e">
        <f t="shared" si="16"/>
        <v>#REF!</v>
      </c>
      <c r="Z17" s="38" t="e">
        <f>Grunddaten!#REF!</f>
        <v>#REF!</v>
      </c>
      <c r="AA17" s="40" t="e">
        <f t="shared" si="17"/>
        <v>#REF!</v>
      </c>
      <c r="AB17" s="37" t="e">
        <f>Grunddaten!#REF!</f>
        <v>#REF!</v>
      </c>
      <c r="AC17" s="38" t="e">
        <f t="shared" si="18"/>
        <v>#REF!</v>
      </c>
      <c r="AD17" s="41" t="e">
        <f t="shared" si="19"/>
        <v>#REF!</v>
      </c>
      <c r="AE17" s="38" t="e">
        <f>Grunddaten!#REF!</f>
        <v>#REF!</v>
      </c>
      <c r="AF17" s="42" t="e">
        <f t="shared" si="20"/>
        <v>#REF!</v>
      </c>
      <c r="AG17" s="37">
        <v>257</v>
      </c>
      <c r="AH17" s="38">
        <v>157</v>
      </c>
      <c r="AI17" s="41">
        <f t="shared" si="21"/>
        <v>61.089494163424128</v>
      </c>
      <c r="AJ17" s="38">
        <v>100</v>
      </c>
      <c r="AK17" s="42">
        <f t="shared" si="22"/>
        <v>38.910505836575872</v>
      </c>
      <c r="AL17" s="64">
        <v>237</v>
      </c>
      <c r="AM17" s="38">
        <f t="shared" si="23"/>
        <v>138</v>
      </c>
      <c r="AN17" s="41">
        <f t="shared" si="24"/>
        <v>58.22784810126582</v>
      </c>
      <c r="AO17" s="38">
        <v>99</v>
      </c>
      <c r="AP17" s="42">
        <f t="shared" si="25"/>
        <v>41.77215189873418</v>
      </c>
      <c r="AQ17" s="64">
        <v>207</v>
      </c>
      <c r="AR17" s="38">
        <f t="shared" si="26"/>
        <v>121</v>
      </c>
      <c r="AS17" s="41">
        <f t="shared" si="27"/>
        <v>58.454106280193237</v>
      </c>
      <c r="AT17" s="38">
        <v>86</v>
      </c>
      <c r="AU17" s="42">
        <f t="shared" si="28"/>
        <v>41.545893719806763</v>
      </c>
      <c r="AV17" s="64">
        <v>180</v>
      </c>
      <c r="AW17" s="90">
        <f t="shared" si="29"/>
        <v>110</v>
      </c>
      <c r="AX17" s="89">
        <f t="shared" si="30"/>
        <v>61.111111111111114</v>
      </c>
      <c r="AY17" s="88">
        <v>70</v>
      </c>
      <c r="AZ17" s="91">
        <f t="shared" si="31"/>
        <v>38.888888888888886</v>
      </c>
      <c r="BA17" s="64">
        <v>163</v>
      </c>
      <c r="BB17" s="90">
        <f t="shared" si="1"/>
        <v>92</v>
      </c>
      <c r="BC17" s="89">
        <f t="shared" si="32"/>
        <v>56.441717791411044</v>
      </c>
      <c r="BD17" s="88">
        <v>71</v>
      </c>
      <c r="BE17" s="91">
        <f t="shared" si="33"/>
        <v>43.558282208588956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</row>
    <row r="18" spans="1:72" ht="51.9" customHeight="1" thickBot="1" x14ac:dyDescent="0.3">
      <c r="A18" s="49" t="s">
        <v>27</v>
      </c>
      <c r="B18" s="50"/>
      <c r="C18" s="51">
        <f>SUM(C10:C17)</f>
        <v>2976</v>
      </c>
      <c r="D18" s="52" t="e">
        <f>SUM(D10:D17)</f>
        <v>#REF!</v>
      </c>
      <c r="E18" s="53" t="e">
        <f t="shared" si="7"/>
        <v>#REF!</v>
      </c>
      <c r="F18" s="54" t="e">
        <f>SUM(F10:F17)</f>
        <v>#REF!</v>
      </c>
      <c r="G18" s="55" t="e">
        <f t="shared" si="8"/>
        <v>#REF!</v>
      </c>
      <c r="H18" s="51" t="e">
        <f>SUM(H10:H17)</f>
        <v>#REF!</v>
      </c>
      <c r="I18" s="52" t="e">
        <f>SUM(I10:I17)</f>
        <v>#REF!</v>
      </c>
      <c r="J18" s="55" t="e">
        <f t="shared" si="10"/>
        <v>#REF!</v>
      </c>
      <c r="K18" s="54" t="e">
        <f>SUM(K10:K17)</f>
        <v>#REF!</v>
      </c>
      <c r="L18" s="55" t="e">
        <f t="shared" si="11"/>
        <v>#REF!</v>
      </c>
      <c r="M18" s="51" t="e">
        <f>SUM(M10:M17)</f>
        <v>#REF!</v>
      </c>
      <c r="N18" s="52" t="e">
        <f>SUM(N10:N17)</f>
        <v>#REF!</v>
      </c>
      <c r="O18" s="55" t="e">
        <f t="shared" si="12"/>
        <v>#REF!</v>
      </c>
      <c r="P18" s="54">
        <f>SUM(P10:P17)</f>
        <v>1402</v>
      </c>
      <c r="Q18" s="55" t="e">
        <f t="shared" si="13"/>
        <v>#REF!</v>
      </c>
      <c r="R18" s="51" t="e">
        <f>SUM(R10:R17)</f>
        <v>#REF!</v>
      </c>
      <c r="S18" s="52" t="e">
        <f>SUM(S10:S17)</f>
        <v>#REF!</v>
      </c>
      <c r="T18" s="55" t="e">
        <f t="shared" si="14"/>
        <v>#REF!</v>
      </c>
      <c r="U18" s="54">
        <f>SUM(U10:U17)</f>
        <v>1384</v>
      </c>
      <c r="V18" s="55" t="e">
        <f t="shared" si="15"/>
        <v>#REF!</v>
      </c>
      <c r="W18" s="51" t="e">
        <f>SUM(W10:W17)</f>
        <v>#REF!</v>
      </c>
      <c r="X18" s="52" t="e">
        <f>SUM(X10:X17)</f>
        <v>#REF!</v>
      </c>
      <c r="Y18" s="55" t="e">
        <f t="shared" si="16"/>
        <v>#REF!</v>
      </c>
      <c r="Z18" s="54" t="e">
        <f>SUM(Z10:Z17)</f>
        <v>#REF!</v>
      </c>
      <c r="AA18" s="55" t="e">
        <f t="shared" si="17"/>
        <v>#REF!</v>
      </c>
      <c r="AB18" s="51" t="e">
        <f>SUM(AB10:AB17)</f>
        <v>#REF!</v>
      </c>
      <c r="AC18" s="52" t="e">
        <f>SUM(AC10:AC17)</f>
        <v>#REF!</v>
      </c>
      <c r="AD18" s="55" t="e">
        <f t="shared" si="19"/>
        <v>#REF!</v>
      </c>
      <c r="AE18" s="54" t="e">
        <f>SUM(AE10:AE17)</f>
        <v>#REF!</v>
      </c>
      <c r="AF18" s="56" t="e">
        <f t="shared" si="20"/>
        <v>#REF!</v>
      </c>
      <c r="AG18" s="51">
        <f>SUM(AG10:AG17)</f>
        <v>2744</v>
      </c>
      <c r="AH18" s="52">
        <f>SUM(AH10:AH17)</f>
        <v>1592</v>
      </c>
      <c r="AI18" s="55">
        <f t="shared" si="21"/>
        <v>58.017492711370259</v>
      </c>
      <c r="AJ18" s="54">
        <f>SUM(AJ10:AJ17)</f>
        <v>1152</v>
      </c>
      <c r="AK18" s="56">
        <f t="shared" si="22"/>
        <v>41.982507288629741</v>
      </c>
      <c r="AL18" s="51">
        <f>SUM(AL10:AL17)</f>
        <v>2558</v>
      </c>
      <c r="AM18" s="52">
        <f>SUM(AM10:AM17)</f>
        <v>1449</v>
      </c>
      <c r="AN18" s="55">
        <f t="shared" si="24"/>
        <v>56.645817044566066</v>
      </c>
      <c r="AO18" s="54">
        <f>SUM(AO10:AO17)</f>
        <v>1109</v>
      </c>
      <c r="AP18" s="56">
        <f t="shared" si="25"/>
        <v>43.354182955433934</v>
      </c>
      <c r="AQ18" s="51">
        <f>SUM(AQ10:AQ17)</f>
        <v>2369</v>
      </c>
      <c r="AR18" s="52">
        <f>SUM(AR10:AR17)</f>
        <v>1321</v>
      </c>
      <c r="AS18" s="55">
        <f t="shared" si="27"/>
        <v>55.761924862811313</v>
      </c>
      <c r="AT18" s="54">
        <f>SUM(AT10:AT17)</f>
        <v>1048</v>
      </c>
      <c r="AU18" s="56">
        <f t="shared" si="28"/>
        <v>44.238075137188687</v>
      </c>
      <c r="AV18" s="51">
        <f>SUM(AV10:AV17)</f>
        <v>2264</v>
      </c>
      <c r="AW18" s="52">
        <f>SUM(AW10:AW17)</f>
        <v>1260</v>
      </c>
      <c r="AX18" s="93">
        <f t="shared" si="30"/>
        <v>55.653710247349821</v>
      </c>
      <c r="AY18" s="54">
        <f>SUM(AY10:AY17)</f>
        <v>1004</v>
      </c>
      <c r="AZ18" s="56">
        <f>AY18*100/AV18</f>
        <v>44.346289752650179</v>
      </c>
      <c r="BA18" s="51">
        <f>SUM(BA10:BA17)</f>
        <v>2082</v>
      </c>
      <c r="BB18" s="52">
        <f>SUM(BB10:BB17)</f>
        <v>1150</v>
      </c>
      <c r="BC18" s="93">
        <f t="shared" si="32"/>
        <v>55.235350624399615</v>
      </c>
      <c r="BD18" s="54">
        <f>SUM(BD10:BD17)</f>
        <v>932</v>
      </c>
      <c r="BE18" s="56">
        <f>BD18*100/BA18</f>
        <v>44.764649375600385</v>
      </c>
      <c r="BF18" s="51">
        <f>SUM(BF10:BF17)</f>
        <v>1982</v>
      </c>
      <c r="BG18" s="52">
        <f>SUM(BG10:BG17)</f>
        <v>1081</v>
      </c>
      <c r="BH18" s="93">
        <f t="shared" si="34"/>
        <v>54.540867810292632</v>
      </c>
      <c r="BI18" s="54">
        <f>SUM(BI10:BI17)</f>
        <v>901</v>
      </c>
      <c r="BJ18" s="56">
        <f>BI18*100/BF18</f>
        <v>45.459132189707368</v>
      </c>
      <c r="BK18" s="51">
        <f>SUM(BK10:BK17)</f>
        <v>1853</v>
      </c>
      <c r="BL18" s="52">
        <f>SUM(BL10:BL17)</f>
        <v>1003</v>
      </c>
      <c r="BM18" s="93">
        <f t="shared" si="36"/>
        <v>54.128440366972477</v>
      </c>
      <c r="BN18" s="54">
        <f>SUM(BN10:BN17)</f>
        <v>850</v>
      </c>
      <c r="BO18" s="56">
        <f>BN18*100/BK18</f>
        <v>45.871559633027523</v>
      </c>
      <c r="BP18" s="51">
        <f>SUM(BP10:BP17)</f>
        <v>1720</v>
      </c>
      <c r="BQ18" s="52">
        <f>SUM(BQ10:BQ17)</f>
        <v>936</v>
      </c>
      <c r="BR18" s="93">
        <f>BQ18*100/BP18</f>
        <v>54.418604651162788</v>
      </c>
      <c r="BS18" s="54">
        <f>SUM(BS10:BS17)</f>
        <v>784</v>
      </c>
      <c r="BT18" s="56">
        <f>BS18*100/BP18</f>
        <v>45.581395348837212</v>
      </c>
    </row>
    <row r="19" spans="1:72" s="43" customFormat="1" x14ac:dyDescent="0.25">
      <c r="B19" s="4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72" s="47" customFormat="1" x14ac:dyDescent="0.25">
      <c r="A20" s="46" t="s">
        <v>43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72" s="47" customFormat="1" x14ac:dyDescent="0.25">
      <c r="A21" s="46" t="s">
        <v>44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72" s="47" customFormat="1" x14ac:dyDescent="0.25">
      <c r="A22" s="46" t="s">
        <v>45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72" s="43" customFormat="1" x14ac:dyDescent="0.25"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72" s="43" customFormat="1" x14ac:dyDescent="0.25">
      <c r="B24" s="4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72" s="43" customFormat="1" x14ac:dyDescent="0.25">
      <c r="B25" s="4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72" s="43" customFormat="1" x14ac:dyDescent="0.25">
      <c r="B26" s="4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72" s="43" customFormat="1" x14ac:dyDescent="0.25">
      <c r="B27" s="4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72" s="43" customFormat="1" x14ac:dyDescent="0.25"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72" s="43" customFormat="1" x14ac:dyDescent="0.25">
      <c r="B29" s="4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72" s="43" customFormat="1" x14ac:dyDescent="0.25">
      <c r="B30" s="4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72" s="43" customFormat="1" x14ac:dyDescent="0.25">
      <c r="B31" s="4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72" s="43" customFormat="1" x14ac:dyDescent="0.25">
      <c r="B32" s="4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2:52" s="43" customFormat="1" x14ac:dyDescent="0.25">
      <c r="B33" s="4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2:52" s="43" customFormat="1" x14ac:dyDescent="0.25">
      <c r="B34" s="4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2:52" s="43" customFormat="1" x14ac:dyDescent="0.25">
      <c r="B35" s="4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2:52" s="43" customFormat="1" x14ac:dyDescent="0.25">
      <c r="B36" s="4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2:52" s="43" customFormat="1" x14ac:dyDescent="0.25">
      <c r="B37" s="4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2:52" s="43" customFormat="1" x14ac:dyDescent="0.25">
      <c r="B38" s="4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2:52" s="43" customFormat="1" x14ac:dyDescent="0.25">
      <c r="B39" s="4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2:52" s="43" customFormat="1" x14ac:dyDescent="0.25">
      <c r="B40" s="4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2:52" s="43" customFormat="1" x14ac:dyDescent="0.25">
      <c r="B41" s="4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:52" s="43" customFormat="1" x14ac:dyDescent="0.25">
      <c r="B42" s="4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:52" s="43" customFormat="1" x14ac:dyDescent="0.25">
      <c r="B43" s="4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:52" s="43" customFormat="1" x14ac:dyDescent="0.25">
      <c r="B44" s="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s="43" customFormat="1" x14ac:dyDescent="0.25">
      <c r="B45" s="4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s="43" customFormat="1" x14ac:dyDescent="0.25">
      <c r="B46" s="4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s="43" customFormat="1" x14ac:dyDescent="0.25">
      <c r="B47" s="4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s="43" customFormat="1" x14ac:dyDescent="0.25">
      <c r="B48" s="4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s="43" customFormat="1" x14ac:dyDescent="0.25">
      <c r="B49" s="4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s="43" customFormat="1" x14ac:dyDescent="0.25">
      <c r="B50" s="4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s="43" customFormat="1" x14ac:dyDescent="0.25">
      <c r="B51" s="4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s="43" customFormat="1" x14ac:dyDescent="0.25">
      <c r="B52" s="4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s="43" customFormat="1" x14ac:dyDescent="0.25">
      <c r="B53" s="4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s="43" customFormat="1" x14ac:dyDescent="0.25">
      <c r="B54" s="4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s="43" customFormat="1" x14ac:dyDescent="0.25">
      <c r="B55" s="4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s="43" customFormat="1" x14ac:dyDescent="0.25">
      <c r="B56" s="4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s="43" customFormat="1" x14ac:dyDescent="0.25">
      <c r="B57" s="4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s="43" customFormat="1" x14ac:dyDescent="0.25">
      <c r="B58" s="4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s="43" customFormat="1" x14ac:dyDescent="0.25">
      <c r="B59" s="4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s="43" customFormat="1" x14ac:dyDescent="0.25">
      <c r="B60" s="4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s="43" customFormat="1" x14ac:dyDescent="0.25">
      <c r="B61" s="4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s="43" customFormat="1" x14ac:dyDescent="0.25">
      <c r="B62" s="4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s="43" customFormat="1" x14ac:dyDescent="0.25">
      <c r="B63" s="4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s="43" customFormat="1" x14ac:dyDescent="0.25">
      <c r="B64" s="4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s="43" customFormat="1" x14ac:dyDescent="0.25">
      <c r="B65" s="4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s="43" customFormat="1" x14ac:dyDescent="0.25">
      <c r="B66" s="4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s="43" customFormat="1" x14ac:dyDescent="0.25">
      <c r="B67" s="4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s="43" customFormat="1" x14ac:dyDescent="0.25"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s="43" customFormat="1" x14ac:dyDescent="0.25">
      <c r="B69" s="4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s="43" customFormat="1" x14ac:dyDescent="0.25">
      <c r="B70" s="4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s="43" customFormat="1" x14ac:dyDescent="0.25">
      <c r="B71" s="4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s="43" customFormat="1" x14ac:dyDescent="0.25">
      <c r="B72" s="4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s="43" customFormat="1" x14ac:dyDescent="0.25">
      <c r="B73" s="4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s="43" customFormat="1" x14ac:dyDescent="0.25">
      <c r="B74" s="4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s="43" customFormat="1" x14ac:dyDescent="0.25">
      <c r="B75" s="4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s="43" customFormat="1" x14ac:dyDescent="0.25">
      <c r="B76" s="4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s="43" customFormat="1" x14ac:dyDescent="0.25">
      <c r="B77" s="4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s="43" customFormat="1" x14ac:dyDescent="0.25">
      <c r="B78" s="4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s="43" customFormat="1" x14ac:dyDescent="0.25">
      <c r="B79" s="4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s="43" customFormat="1" x14ac:dyDescent="0.25">
      <c r="B80" s="4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s="43" customFormat="1" x14ac:dyDescent="0.25">
      <c r="B81" s="4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s="43" customFormat="1" x14ac:dyDescent="0.25">
      <c r="B82" s="4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s="43" customFormat="1" x14ac:dyDescent="0.25">
      <c r="B83" s="4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s="43" customFormat="1" x14ac:dyDescent="0.25">
      <c r="B84" s="4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s="43" customFormat="1" x14ac:dyDescent="0.25">
      <c r="B85" s="4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s="43" customFormat="1" x14ac:dyDescent="0.25">
      <c r="B86" s="4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s="43" customFormat="1" x14ac:dyDescent="0.25">
      <c r="B87" s="4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s="43" customFormat="1" x14ac:dyDescent="0.25">
      <c r="B88" s="4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s="43" customFormat="1" x14ac:dyDescent="0.25">
      <c r="B89" s="4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s="43" customFormat="1" x14ac:dyDescent="0.25">
      <c r="B90" s="4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s="43" customFormat="1" x14ac:dyDescent="0.25">
      <c r="B91" s="4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s="43" customFormat="1" x14ac:dyDescent="0.25">
      <c r="B92" s="4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s="43" customFormat="1" x14ac:dyDescent="0.25">
      <c r="B93" s="4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s="43" customFormat="1" x14ac:dyDescent="0.25">
      <c r="B94" s="4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s="43" customFormat="1" x14ac:dyDescent="0.25">
      <c r="B95" s="4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s="43" customFormat="1" x14ac:dyDescent="0.25">
      <c r="B96" s="4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s="43" customFormat="1" x14ac:dyDescent="0.25">
      <c r="B97" s="4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s="43" customFormat="1" x14ac:dyDescent="0.25">
      <c r="B98" s="4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s="43" customFormat="1" x14ac:dyDescent="0.25">
      <c r="B99" s="4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s="43" customFormat="1" x14ac:dyDescent="0.25">
      <c r="B100" s="4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s="43" customFormat="1" x14ac:dyDescent="0.25">
      <c r="B101" s="4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s="43" customFormat="1" x14ac:dyDescent="0.25">
      <c r="B102" s="4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s="43" customFormat="1" x14ac:dyDescent="0.25">
      <c r="B103" s="4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s="43" customFormat="1" x14ac:dyDescent="0.25">
      <c r="B104" s="4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s="43" customFormat="1" x14ac:dyDescent="0.25">
      <c r="B105" s="4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s="43" customFormat="1" x14ac:dyDescent="0.25">
      <c r="B106" s="4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s="43" customFormat="1" x14ac:dyDescent="0.25">
      <c r="B107" s="4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s="43" customFormat="1" x14ac:dyDescent="0.25">
      <c r="B108" s="4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s="43" customFormat="1" x14ac:dyDescent="0.25">
      <c r="B109" s="4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s="43" customFormat="1" x14ac:dyDescent="0.25">
      <c r="B110" s="4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s="43" customFormat="1" x14ac:dyDescent="0.25">
      <c r="B111" s="4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s="43" customFormat="1" x14ac:dyDescent="0.25">
      <c r="B112" s="4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s="43" customFormat="1" x14ac:dyDescent="0.25">
      <c r="B113" s="4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s="43" customFormat="1" x14ac:dyDescent="0.25">
      <c r="B114" s="4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s="43" customFormat="1" x14ac:dyDescent="0.25">
      <c r="B115" s="4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s="43" customFormat="1" x14ac:dyDescent="0.25">
      <c r="B116" s="4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s="43" customFormat="1" x14ac:dyDescent="0.25">
      <c r="B117" s="4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s="43" customFormat="1" x14ac:dyDescent="0.25">
      <c r="B118" s="4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s="43" customFormat="1" x14ac:dyDescent="0.25">
      <c r="B119" s="4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s="43" customFormat="1" x14ac:dyDescent="0.25">
      <c r="B120" s="4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s="43" customFormat="1" x14ac:dyDescent="0.25">
      <c r="B121" s="4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s="43" customFormat="1" x14ac:dyDescent="0.25">
      <c r="B122" s="4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s="43" customFormat="1" x14ac:dyDescent="0.25">
      <c r="B123" s="4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s="43" customFormat="1" x14ac:dyDescent="0.25">
      <c r="B124" s="4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s="43" customFormat="1" x14ac:dyDescent="0.25">
      <c r="B125" s="4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s="43" customFormat="1" x14ac:dyDescent="0.25">
      <c r="B126" s="4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s="43" customFormat="1" x14ac:dyDescent="0.25">
      <c r="B127" s="4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s="43" customFormat="1" x14ac:dyDescent="0.25">
      <c r="B128" s="4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s="43" customFormat="1" x14ac:dyDescent="0.25">
      <c r="B129" s="4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s="43" customFormat="1" x14ac:dyDescent="0.25">
      <c r="B130" s="4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s="43" customFormat="1" x14ac:dyDescent="0.25">
      <c r="B131" s="4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s="43" customFormat="1" x14ac:dyDescent="0.25">
      <c r="B132" s="4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s="43" customFormat="1" x14ac:dyDescent="0.25">
      <c r="B133" s="4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s="43" customFormat="1" x14ac:dyDescent="0.25">
      <c r="B134" s="4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s="43" customFormat="1" x14ac:dyDescent="0.25">
      <c r="B135" s="4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s="43" customFormat="1" x14ac:dyDescent="0.25">
      <c r="B136" s="4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s="43" customFormat="1" x14ac:dyDescent="0.25">
      <c r="B137" s="4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s="43" customFormat="1" x14ac:dyDescent="0.25">
      <c r="B138" s="4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s="43" customFormat="1" x14ac:dyDescent="0.25">
      <c r="B139" s="4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s="43" customFormat="1" x14ac:dyDescent="0.25">
      <c r="B140" s="4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s="43" customFormat="1" x14ac:dyDescent="0.25">
      <c r="B141" s="4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s="43" customFormat="1" x14ac:dyDescent="0.25">
      <c r="B142" s="4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s="43" customFormat="1" x14ac:dyDescent="0.25">
      <c r="B143" s="4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s="43" customFormat="1" x14ac:dyDescent="0.25">
      <c r="B144" s="4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s="43" customFormat="1" x14ac:dyDescent="0.25">
      <c r="B145" s="4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s="43" customFormat="1" x14ac:dyDescent="0.25">
      <c r="B146" s="4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s="43" customFormat="1" x14ac:dyDescent="0.25">
      <c r="B147" s="4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s="43" customFormat="1" x14ac:dyDescent="0.25">
      <c r="B148" s="4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s="43" customFormat="1" x14ac:dyDescent="0.25">
      <c r="B149" s="4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s="43" customFormat="1" x14ac:dyDescent="0.25">
      <c r="B150" s="4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s="43" customFormat="1" x14ac:dyDescent="0.25">
      <c r="B151" s="4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s="43" customFormat="1" x14ac:dyDescent="0.25">
      <c r="B152" s="4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s="43" customFormat="1" x14ac:dyDescent="0.25">
      <c r="B153" s="4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s="43" customFormat="1" x14ac:dyDescent="0.25">
      <c r="B154" s="4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s="43" customFormat="1" x14ac:dyDescent="0.25">
      <c r="B155" s="4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s="43" customFormat="1" x14ac:dyDescent="0.25">
      <c r="B156" s="4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s="43" customFormat="1" x14ac:dyDescent="0.25">
      <c r="B157" s="4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s="43" customFormat="1" x14ac:dyDescent="0.25">
      <c r="B158" s="4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s="43" customFormat="1" x14ac:dyDescent="0.25">
      <c r="B159" s="4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s="43" customFormat="1" x14ac:dyDescent="0.25">
      <c r="B160" s="4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s="43" customFormat="1" x14ac:dyDescent="0.25">
      <c r="B161" s="4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s="43" customFormat="1" x14ac:dyDescent="0.25">
      <c r="B162" s="4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s="43" customFormat="1" x14ac:dyDescent="0.25">
      <c r="B163" s="4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s="43" customFormat="1" x14ac:dyDescent="0.25">
      <c r="B164" s="4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s="43" customFormat="1" x14ac:dyDescent="0.25">
      <c r="B165" s="4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s="43" customFormat="1" x14ac:dyDescent="0.25">
      <c r="B166" s="4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s="43" customFormat="1" x14ac:dyDescent="0.25">
      <c r="B167" s="4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s="43" customFormat="1" x14ac:dyDescent="0.25">
      <c r="B168" s="4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s="43" customFormat="1" x14ac:dyDescent="0.25">
      <c r="B169" s="4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s="43" customFormat="1" x14ac:dyDescent="0.25">
      <c r="B170" s="4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s="43" customFormat="1" x14ac:dyDescent="0.25">
      <c r="B171" s="4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s="43" customFormat="1" x14ac:dyDescent="0.25">
      <c r="B172" s="4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s="43" customFormat="1" x14ac:dyDescent="0.25">
      <c r="B173" s="4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s="43" customFormat="1" x14ac:dyDescent="0.25">
      <c r="B174" s="4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s="43" customFormat="1" x14ac:dyDescent="0.25">
      <c r="B175" s="4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s="43" customFormat="1" x14ac:dyDescent="0.25">
      <c r="B176" s="4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s="43" customFormat="1" x14ac:dyDescent="0.25">
      <c r="B177" s="4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s="43" customFormat="1" x14ac:dyDescent="0.25">
      <c r="B178" s="4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s="43" customFormat="1" x14ac:dyDescent="0.25">
      <c r="B179" s="4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s="43" customFormat="1" x14ac:dyDescent="0.25">
      <c r="B180" s="4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s="43" customFormat="1" x14ac:dyDescent="0.25">
      <c r="B181" s="4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s="43" customFormat="1" x14ac:dyDescent="0.25">
      <c r="B182" s="4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s="43" customFormat="1" x14ac:dyDescent="0.25">
      <c r="B183" s="4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s="43" customFormat="1" x14ac:dyDescent="0.25">
      <c r="B184" s="4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s="43" customFormat="1" x14ac:dyDescent="0.25">
      <c r="B185" s="4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s="43" customFormat="1" x14ac:dyDescent="0.25">
      <c r="B186" s="4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s="43" customFormat="1" x14ac:dyDescent="0.25">
      <c r="B187" s="4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s="43" customFormat="1" x14ac:dyDescent="0.25">
      <c r="B188" s="4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s="43" customFormat="1" x14ac:dyDescent="0.25">
      <c r="B189" s="4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s="43" customFormat="1" x14ac:dyDescent="0.25">
      <c r="B190" s="4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s="43" customFormat="1" x14ac:dyDescent="0.25">
      <c r="B191" s="4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s="43" customFormat="1" x14ac:dyDescent="0.25">
      <c r="B192" s="4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s="43" customFormat="1" x14ac:dyDescent="0.25">
      <c r="B193" s="4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s="43" customFormat="1" x14ac:dyDescent="0.25">
      <c r="B194" s="4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s="43" customFormat="1" x14ac:dyDescent="0.25">
      <c r="B195" s="4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s="43" customFormat="1" x14ac:dyDescent="0.25">
      <c r="B196" s="4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s="43" customFormat="1" x14ac:dyDescent="0.25">
      <c r="B197" s="4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s="43" customFormat="1" x14ac:dyDescent="0.25">
      <c r="B198" s="4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s="43" customFormat="1" x14ac:dyDescent="0.25">
      <c r="B199" s="4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s="43" customFormat="1" x14ac:dyDescent="0.25">
      <c r="B200" s="4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s="43" customFormat="1" x14ac:dyDescent="0.25">
      <c r="B201" s="4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s="43" customFormat="1" x14ac:dyDescent="0.25">
      <c r="B202" s="4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s="43" customFormat="1" x14ac:dyDescent="0.25">
      <c r="B203" s="4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s="43" customFormat="1" x14ac:dyDescent="0.25">
      <c r="B204" s="4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s="43" customFormat="1" x14ac:dyDescent="0.25">
      <c r="B205" s="4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s="43" customFormat="1" x14ac:dyDescent="0.25">
      <c r="B206" s="4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s="43" customFormat="1" x14ac:dyDescent="0.25">
      <c r="B207" s="4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s="43" customFormat="1" x14ac:dyDescent="0.25">
      <c r="B208" s="4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s="43" customFormat="1" x14ac:dyDescent="0.25">
      <c r="B209" s="4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s="43" customFormat="1" x14ac:dyDescent="0.25">
      <c r="B210" s="4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s="43" customFormat="1" x14ac:dyDescent="0.25">
      <c r="B211" s="4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s="43" customFormat="1" x14ac:dyDescent="0.25">
      <c r="B212" s="4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s="43" customFormat="1" x14ac:dyDescent="0.25">
      <c r="B213" s="4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s="43" customFormat="1" x14ac:dyDescent="0.25">
      <c r="B214" s="4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s="43" customFormat="1" x14ac:dyDescent="0.25">
      <c r="B215" s="4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s="43" customFormat="1" x14ac:dyDescent="0.25">
      <c r="B216" s="4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s="43" customFormat="1" x14ac:dyDescent="0.25">
      <c r="B217" s="4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s="43" customFormat="1" x14ac:dyDescent="0.25">
      <c r="B218" s="4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s="43" customFormat="1" x14ac:dyDescent="0.25">
      <c r="B219" s="4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s="43" customFormat="1" x14ac:dyDescent="0.25">
      <c r="B220" s="4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s="43" customFormat="1" x14ac:dyDescent="0.25">
      <c r="B221" s="4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s="43" customFormat="1" x14ac:dyDescent="0.25">
      <c r="B222" s="4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s="43" customFormat="1" x14ac:dyDescent="0.25">
      <c r="B223" s="4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s="43" customFormat="1" x14ac:dyDescent="0.25">
      <c r="B224" s="4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s="43" customFormat="1" x14ac:dyDescent="0.25">
      <c r="B225" s="4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s="43" customFormat="1" x14ac:dyDescent="0.25">
      <c r="B226" s="4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s="43" customFormat="1" x14ac:dyDescent="0.25">
      <c r="B227" s="4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s="43" customFormat="1" x14ac:dyDescent="0.25">
      <c r="B228" s="4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s="43" customFormat="1" x14ac:dyDescent="0.25">
      <c r="B229" s="4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s="43" customFormat="1" x14ac:dyDescent="0.25">
      <c r="B230" s="4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s="43" customFormat="1" x14ac:dyDescent="0.25">
      <c r="B231" s="4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s="43" customFormat="1" x14ac:dyDescent="0.25">
      <c r="B232" s="4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s="43" customFormat="1" x14ac:dyDescent="0.25">
      <c r="B233" s="4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s="43" customFormat="1" x14ac:dyDescent="0.25">
      <c r="B234" s="4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s="43" customFormat="1" x14ac:dyDescent="0.25">
      <c r="B235" s="4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s="43" customFormat="1" x14ac:dyDescent="0.25">
      <c r="B236" s="4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2:52" s="43" customFormat="1" x14ac:dyDescent="0.25">
      <c r="B237" s="4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2:52" s="43" customFormat="1" x14ac:dyDescent="0.25">
      <c r="B238" s="4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2:52" x14ac:dyDescent="0.25">
      <c r="B239" s="44"/>
    </row>
    <row r="240" spans="2:52" x14ac:dyDescent="0.25">
      <c r="B240" s="44"/>
    </row>
    <row r="241" spans="2:2" x14ac:dyDescent="0.25">
      <c r="B241" s="44"/>
    </row>
    <row r="242" spans="2:2" x14ac:dyDescent="0.25">
      <c r="B242" s="44"/>
    </row>
    <row r="243" spans="2:2" x14ac:dyDescent="0.25">
      <c r="B243" s="44"/>
    </row>
    <row r="244" spans="2:2" x14ac:dyDescent="0.25">
      <c r="B244" s="44"/>
    </row>
    <row r="245" spans="2:2" x14ac:dyDescent="0.25">
      <c r="B245" s="44"/>
    </row>
    <row r="246" spans="2:2" x14ac:dyDescent="0.25">
      <c r="B246" s="44"/>
    </row>
  </sheetData>
  <mergeCells count="72">
    <mergeCell ref="AV5:AZ5"/>
    <mergeCell ref="AV6:AV8"/>
    <mergeCell ref="AW6:AZ6"/>
    <mergeCell ref="AW7:AX7"/>
    <mergeCell ref="AY7:AZ7"/>
    <mergeCell ref="BF5:BJ5"/>
    <mergeCell ref="BF6:BF8"/>
    <mergeCell ref="BG6:BJ6"/>
    <mergeCell ref="BG7:BH7"/>
    <mergeCell ref="BI7:BJ7"/>
    <mergeCell ref="A5:A8"/>
    <mergeCell ref="B5:B8"/>
    <mergeCell ref="AL5:AP5"/>
    <mergeCell ref="AL6:AL8"/>
    <mergeCell ref="AM6:AP6"/>
    <mergeCell ref="AM7:AN7"/>
    <mergeCell ref="AO7:AP7"/>
    <mergeCell ref="W6:W8"/>
    <mergeCell ref="X6:AA6"/>
    <mergeCell ref="AB6:AB8"/>
    <mergeCell ref="AG5:AK5"/>
    <mergeCell ref="AG6:AG8"/>
    <mergeCell ref="AH6:AK6"/>
    <mergeCell ref="AC6:AF6"/>
    <mergeCell ref="AE7:AF7"/>
    <mergeCell ref="AH7:AI7"/>
    <mergeCell ref="AJ7:AK7"/>
    <mergeCell ref="C5:G5"/>
    <mergeCell ref="X7:Y7"/>
    <mergeCell ref="Z7:AA7"/>
    <mergeCell ref="AC7:AD7"/>
    <mergeCell ref="N7:O7"/>
    <mergeCell ref="P7:Q7"/>
    <mergeCell ref="S7:T7"/>
    <mergeCell ref="U7:V7"/>
    <mergeCell ref="D7:E7"/>
    <mergeCell ref="F7:G7"/>
    <mergeCell ref="AB5:AF5"/>
    <mergeCell ref="C6:C8"/>
    <mergeCell ref="D6:G6"/>
    <mergeCell ref="H6:H8"/>
    <mergeCell ref="I6:L6"/>
    <mergeCell ref="R5:V5"/>
    <mergeCell ref="W5:AA5"/>
    <mergeCell ref="I7:J7"/>
    <mergeCell ref="K7:L7"/>
    <mergeCell ref="H5:L5"/>
    <mergeCell ref="M5:Q5"/>
    <mergeCell ref="M6:M8"/>
    <mergeCell ref="N6:Q6"/>
    <mergeCell ref="R6:R8"/>
    <mergeCell ref="S6:V6"/>
    <mergeCell ref="BA5:BE5"/>
    <mergeCell ref="BA6:BA8"/>
    <mergeCell ref="BB6:BE6"/>
    <mergeCell ref="BB7:BC7"/>
    <mergeCell ref="BD7:BE7"/>
    <mergeCell ref="AQ5:AU5"/>
    <mergeCell ref="AQ6:AQ8"/>
    <mergeCell ref="AR6:AU6"/>
    <mergeCell ref="AR7:AS7"/>
    <mergeCell ref="AT7:AU7"/>
    <mergeCell ref="BP5:BT5"/>
    <mergeCell ref="BP6:BP8"/>
    <mergeCell ref="BQ6:BT6"/>
    <mergeCell ref="BQ7:BR7"/>
    <mergeCell ref="BS7:BT7"/>
    <mergeCell ref="BK5:BO5"/>
    <mergeCell ref="BK6:BK8"/>
    <mergeCell ref="BL6:BO6"/>
    <mergeCell ref="BL7:BM7"/>
    <mergeCell ref="BN7:BO7"/>
  </mergeCells>
  <phoneticPr fontId="0" type="noConversion"/>
  <pageMargins left="0.41" right="0.2" top="1.19" bottom="0.76" header="0.56000000000000005" footer="0.38"/>
  <pageSetup paperSize="9" scale="66" orientation="landscape" r:id="rId1"/>
  <headerFooter alignWithMargins="0">
    <oddFooter>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C245"/>
  <sheetViews>
    <sheetView topLeftCell="CE4" workbookViewId="0">
      <selection activeCell="DD12" sqref="DD12"/>
    </sheetView>
  </sheetViews>
  <sheetFormatPr baseColWidth="10" defaultColWidth="11.44140625" defaultRowHeight="13.2" x14ac:dyDescent="0.25"/>
  <cols>
    <col min="1" max="1" width="3.6640625" style="4" customWidth="1"/>
    <col min="2" max="2" width="20.6640625" style="5" bestFit="1" customWidth="1"/>
    <col min="3" max="3" width="2.33203125" style="4" customWidth="1"/>
    <col min="4" max="4" width="6.33203125" style="4" hidden="1" customWidth="1"/>
    <col min="5" max="5" width="5.5546875" style="4" hidden="1" customWidth="1"/>
    <col min="6" max="6" width="6.33203125" style="4" hidden="1" customWidth="1"/>
    <col min="7" max="7" width="5.5546875" style="4" hidden="1" customWidth="1"/>
    <col min="8" max="8" width="6.33203125" style="4" hidden="1" customWidth="1"/>
    <col min="9" max="9" width="5.5546875" style="4" hidden="1" customWidth="1"/>
    <col min="10" max="10" width="7.109375" style="4" hidden="1" customWidth="1"/>
    <col min="11" max="11" width="6.33203125" style="4" hidden="1" customWidth="1"/>
    <col min="12" max="12" width="5.5546875" style="4" hidden="1" customWidth="1"/>
    <col min="13" max="13" width="6.33203125" style="4" hidden="1" customWidth="1"/>
    <col min="14" max="14" width="5.5546875" style="4" hidden="1" customWidth="1"/>
    <col min="15" max="15" width="6.33203125" style="4" hidden="1" customWidth="1"/>
    <col min="16" max="16" width="5.5546875" style="4" hidden="1" customWidth="1"/>
    <col min="17" max="17" width="1.109375" style="4" customWidth="1"/>
    <col min="18" max="18" width="6.5546875" style="4" hidden="1" customWidth="1"/>
    <col min="19" max="19" width="5.5546875" style="4" hidden="1" customWidth="1"/>
    <col min="20" max="20" width="6.5546875" style="4" hidden="1" customWidth="1"/>
    <col min="21" max="21" width="5.5546875" style="4" hidden="1" customWidth="1"/>
    <col min="22" max="22" width="6.5546875" style="4" hidden="1" customWidth="1"/>
    <col min="23" max="23" width="5.5546875" style="4" hidden="1" customWidth="1"/>
    <col min="24" max="24" width="6.6640625" style="4" hidden="1" customWidth="1"/>
    <col min="25" max="25" width="6.5546875" style="4" hidden="1" customWidth="1"/>
    <col min="26" max="26" width="5.5546875" style="4" hidden="1" customWidth="1"/>
    <col min="27" max="27" width="6.5546875" style="4" hidden="1" customWidth="1"/>
    <col min="28" max="28" width="5.5546875" style="4" hidden="1" customWidth="1"/>
    <col min="29" max="29" width="6.5546875" style="4" hidden="1" customWidth="1"/>
    <col min="30" max="31" width="0.33203125" style="4" customWidth="1"/>
    <col min="32" max="32" width="6.5546875" style="4" hidden="1" customWidth="1"/>
    <col min="33" max="33" width="5.5546875" style="4" hidden="1" customWidth="1"/>
    <col min="34" max="34" width="6.5546875" style="4" hidden="1" customWidth="1"/>
    <col min="35" max="35" width="5.5546875" style="4" hidden="1" customWidth="1"/>
    <col min="36" max="36" width="6.5546875" style="4" hidden="1" customWidth="1"/>
    <col min="37" max="37" width="5.5546875" style="4" hidden="1" customWidth="1"/>
    <col min="38" max="38" width="6.6640625" style="4" hidden="1" customWidth="1"/>
    <col min="39" max="39" width="6.5546875" style="4" hidden="1" customWidth="1"/>
    <col min="40" max="40" width="5.5546875" style="4" hidden="1" customWidth="1"/>
    <col min="41" max="41" width="6.5546875" style="4" hidden="1" customWidth="1"/>
    <col min="42" max="42" width="5.5546875" style="4" hidden="1" customWidth="1"/>
    <col min="43" max="43" width="6.5546875" style="4" hidden="1" customWidth="1"/>
    <col min="44" max="44" width="5.5546875" style="4" hidden="1" customWidth="1"/>
    <col min="45" max="45" width="0.6640625" style="4" customWidth="1"/>
    <col min="46" max="46" width="7" style="4" hidden="1" customWidth="1"/>
    <col min="47" max="47" width="5.5546875" style="4" hidden="1" customWidth="1"/>
    <col min="48" max="48" width="6.5546875" style="4" hidden="1" customWidth="1"/>
    <col min="49" max="49" width="5.5546875" style="4" hidden="1" customWidth="1"/>
    <col min="50" max="50" width="6.5546875" style="4" hidden="1" customWidth="1"/>
    <col min="51" max="51" width="5.5546875" style="4" hidden="1" customWidth="1"/>
    <col min="52" max="52" width="6.6640625" style="4" hidden="1" customWidth="1"/>
    <col min="53" max="53" width="6.5546875" style="4" hidden="1" customWidth="1"/>
    <col min="54" max="54" width="5.5546875" style="4" hidden="1" customWidth="1"/>
    <col min="55" max="55" width="6.5546875" style="4" hidden="1" customWidth="1"/>
    <col min="56" max="56" width="5.5546875" style="4" hidden="1" customWidth="1"/>
    <col min="57" max="57" width="6.5546875" style="4" hidden="1" customWidth="1"/>
    <col min="58" max="58" width="5.5546875" style="4" hidden="1" customWidth="1"/>
    <col min="59" max="59" width="6.6640625" style="4" hidden="1" customWidth="1"/>
    <col min="60" max="60" width="6.5546875" style="4" hidden="1" customWidth="1"/>
    <col min="61" max="61" width="5.5546875" style="4" hidden="1" customWidth="1"/>
    <col min="62" max="62" width="6.5546875" style="4" hidden="1" customWidth="1"/>
    <col min="63" max="63" width="5.5546875" style="4" hidden="1" customWidth="1"/>
    <col min="64" max="64" width="6.5546875" style="4" hidden="1" customWidth="1"/>
    <col min="65" max="65" width="5.5546875" style="4" hidden="1" customWidth="1"/>
    <col min="66" max="66" width="6.6640625" style="4" hidden="1" customWidth="1"/>
    <col min="67" max="67" width="6.5546875" style="4" hidden="1" customWidth="1"/>
    <col min="68" max="68" width="5.5546875" style="4" hidden="1" customWidth="1"/>
    <col min="69" max="69" width="6.5546875" style="4" hidden="1" customWidth="1"/>
    <col min="70" max="70" width="5.5546875" style="4" hidden="1" customWidth="1"/>
    <col min="71" max="71" width="6.5546875" style="4" hidden="1" customWidth="1"/>
    <col min="72" max="72" width="5.6640625" style="4" hidden="1" customWidth="1"/>
    <col min="73" max="73" width="6.6640625" style="4" customWidth="1"/>
    <col min="74" max="74" width="6.44140625" style="4" customWidth="1"/>
    <col min="75" max="75" width="5.5546875" style="4" bestFit="1" customWidth="1"/>
    <col min="76" max="76" width="6.5546875" style="4" customWidth="1"/>
    <col min="77" max="77" width="5.44140625" style="4" customWidth="1"/>
    <col min="78" max="78" width="6.5546875" style="4" customWidth="1"/>
    <col min="79" max="79" width="5.5546875" style="4" bestFit="1" customWidth="1"/>
    <col min="80" max="80" width="5.6640625" style="6" customWidth="1"/>
    <col min="81" max="81" width="6.6640625" style="6" customWidth="1"/>
    <col min="82" max="82" width="5.6640625" style="6" customWidth="1"/>
    <col min="83" max="83" width="7.88671875" style="6" customWidth="1"/>
    <col min="84" max="84" width="5.6640625" style="6" customWidth="1"/>
    <col min="85" max="85" width="8.44140625" style="6" customWidth="1"/>
    <col min="86" max="87" width="5.6640625" style="6" customWidth="1"/>
    <col min="88" max="88" width="6.6640625" style="6" customWidth="1"/>
    <col min="89" max="89" width="5.6640625" style="6" customWidth="1"/>
    <col min="90" max="90" width="6.33203125" style="6" customWidth="1"/>
    <col min="91" max="91" width="5.6640625" style="6" customWidth="1"/>
    <col min="92" max="92" width="6.88671875" style="6" customWidth="1"/>
    <col min="93" max="93" width="5.6640625" style="6" customWidth="1"/>
    <col min="94" max="100" width="6.5546875" style="6" customWidth="1"/>
    <col min="101" max="107" width="6.33203125" style="6" customWidth="1"/>
    <col min="108" max="16384" width="11.44140625" style="6"/>
  </cols>
  <sheetData>
    <row r="1" spans="1:107" s="2" customFormat="1" x14ac:dyDescent="0.25">
      <c r="A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107" s="2" customFormat="1" x14ac:dyDescent="0.25">
      <c r="A2" s="2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4" spans="1:107" ht="13.8" thickBot="1" x14ac:dyDescent="0.3"/>
    <row r="5" spans="1:107" s="7" customFormat="1" ht="16.5" customHeight="1" x14ac:dyDescent="0.25">
      <c r="A5" s="259" t="s">
        <v>24</v>
      </c>
      <c r="B5" s="262" t="s">
        <v>25</v>
      </c>
      <c r="C5" s="241" t="s">
        <v>22</v>
      </c>
      <c r="D5" s="242"/>
      <c r="E5" s="242"/>
      <c r="F5" s="242"/>
      <c r="G5" s="242"/>
      <c r="H5" s="242"/>
      <c r="I5" s="243"/>
      <c r="J5" s="241" t="s">
        <v>28</v>
      </c>
      <c r="K5" s="242"/>
      <c r="L5" s="242"/>
      <c r="M5" s="242"/>
      <c r="N5" s="242"/>
      <c r="O5" s="242"/>
      <c r="P5" s="243"/>
      <c r="Q5" s="241" t="s">
        <v>29</v>
      </c>
      <c r="R5" s="242"/>
      <c r="S5" s="242"/>
      <c r="T5" s="242"/>
      <c r="U5" s="242"/>
      <c r="V5" s="242"/>
      <c r="W5" s="243"/>
      <c r="X5" s="241" t="s">
        <v>13</v>
      </c>
      <c r="Y5" s="242"/>
      <c r="Z5" s="242"/>
      <c r="AA5" s="242"/>
      <c r="AB5" s="242"/>
      <c r="AC5" s="242"/>
      <c r="AD5" s="243"/>
      <c r="AE5" s="241" t="s">
        <v>14</v>
      </c>
      <c r="AF5" s="242"/>
      <c r="AG5" s="242"/>
      <c r="AH5" s="242"/>
      <c r="AI5" s="242"/>
      <c r="AJ5" s="242"/>
      <c r="AK5" s="243"/>
      <c r="AL5" s="241" t="s">
        <v>20</v>
      </c>
      <c r="AM5" s="242"/>
      <c r="AN5" s="242"/>
      <c r="AO5" s="242"/>
      <c r="AP5" s="242"/>
      <c r="AQ5" s="242"/>
      <c r="AR5" s="243"/>
      <c r="AS5" s="241" t="s">
        <v>23</v>
      </c>
      <c r="AT5" s="242"/>
      <c r="AU5" s="242"/>
      <c r="AV5" s="242"/>
      <c r="AW5" s="242"/>
      <c r="AX5" s="242"/>
      <c r="AY5" s="243"/>
      <c r="AZ5" s="241" t="s">
        <v>46</v>
      </c>
      <c r="BA5" s="242"/>
      <c r="BB5" s="242"/>
      <c r="BC5" s="242"/>
      <c r="BD5" s="242"/>
      <c r="BE5" s="242"/>
      <c r="BF5" s="243"/>
      <c r="BG5" s="241" t="s">
        <v>66</v>
      </c>
      <c r="BH5" s="242"/>
      <c r="BI5" s="242"/>
      <c r="BJ5" s="242"/>
      <c r="BK5" s="242"/>
      <c r="BL5" s="242"/>
      <c r="BM5" s="243"/>
      <c r="BN5" s="241" t="s">
        <v>94</v>
      </c>
      <c r="BO5" s="242"/>
      <c r="BP5" s="242"/>
      <c r="BQ5" s="242"/>
      <c r="BR5" s="242"/>
      <c r="BS5" s="242"/>
      <c r="BT5" s="243"/>
      <c r="BU5" s="241" t="s">
        <v>96</v>
      </c>
      <c r="BV5" s="242"/>
      <c r="BW5" s="242"/>
      <c r="BX5" s="242"/>
      <c r="BY5" s="242"/>
      <c r="BZ5" s="242"/>
      <c r="CA5" s="243"/>
      <c r="CB5" s="241" t="s">
        <v>98</v>
      </c>
      <c r="CC5" s="242"/>
      <c r="CD5" s="242"/>
      <c r="CE5" s="242"/>
      <c r="CF5" s="242"/>
      <c r="CG5" s="242"/>
      <c r="CH5" s="243"/>
      <c r="CI5" s="241" t="s">
        <v>104</v>
      </c>
      <c r="CJ5" s="242"/>
      <c r="CK5" s="242"/>
      <c r="CL5" s="242"/>
      <c r="CM5" s="242"/>
      <c r="CN5" s="242"/>
      <c r="CO5" s="243"/>
      <c r="CP5" s="241" t="s">
        <v>141</v>
      </c>
      <c r="CQ5" s="242"/>
      <c r="CR5" s="242"/>
      <c r="CS5" s="242"/>
      <c r="CT5" s="242"/>
      <c r="CU5" s="242"/>
      <c r="CV5" s="243"/>
      <c r="CW5" s="241" t="s">
        <v>153</v>
      </c>
      <c r="CX5" s="242"/>
      <c r="CY5" s="242"/>
      <c r="CZ5" s="242"/>
      <c r="DA5" s="242"/>
      <c r="DB5" s="242"/>
      <c r="DC5" s="243"/>
    </row>
    <row r="6" spans="1:107" s="7" customFormat="1" ht="15" customHeight="1" x14ac:dyDescent="0.25">
      <c r="A6" s="260"/>
      <c r="B6" s="263"/>
      <c r="C6" s="277" t="s">
        <v>26</v>
      </c>
      <c r="D6" s="280" t="s">
        <v>74</v>
      </c>
      <c r="E6" s="281"/>
      <c r="F6" s="281"/>
      <c r="G6" s="281"/>
      <c r="H6" s="281"/>
      <c r="I6" s="282"/>
      <c r="J6" s="277" t="s">
        <v>26</v>
      </c>
      <c r="K6" s="280" t="s">
        <v>74</v>
      </c>
      <c r="L6" s="281"/>
      <c r="M6" s="281"/>
      <c r="N6" s="281"/>
      <c r="O6" s="281"/>
      <c r="P6" s="282"/>
      <c r="Q6" s="277" t="s">
        <v>26</v>
      </c>
      <c r="R6" s="280" t="s">
        <v>74</v>
      </c>
      <c r="S6" s="281"/>
      <c r="T6" s="281"/>
      <c r="U6" s="281"/>
      <c r="V6" s="281"/>
      <c r="W6" s="282"/>
      <c r="X6" s="277" t="s">
        <v>26</v>
      </c>
      <c r="Y6" s="280" t="s">
        <v>74</v>
      </c>
      <c r="Z6" s="281"/>
      <c r="AA6" s="281"/>
      <c r="AB6" s="281"/>
      <c r="AC6" s="281"/>
      <c r="AD6" s="282"/>
      <c r="AE6" s="277" t="s">
        <v>26</v>
      </c>
      <c r="AF6" s="280" t="s">
        <v>74</v>
      </c>
      <c r="AG6" s="281"/>
      <c r="AH6" s="281"/>
      <c r="AI6" s="281"/>
      <c r="AJ6" s="281"/>
      <c r="AK6" s="282"/>
      <c r="AL6" s="277" t="s">
        <v>26</v>
      </c>
      <c r="AM6" s="280" t="s">
        <v>74</v>
      </c>
      <c r="AN6" s="281"/>
      <c r="AO6" s="281"/>
      <c r="AP6" s="281"/>
      <c r="AQ6" s="281"/>
      <c r="AR6" s="282"/>
      <c r="AS6" s="277" t="s">
        <v>26</v>
      </c>
      <c r="AT6" s="280" t="s">
        <v>74</v>
      </c>
      <c r="AU6" s="281"/>
      <c r="AV6" s="281"/>
      <c r="AW6" s="281"/>
      <c r="AX6" s="281"/>
      <c r="AY6" s="282"/>
      <c r="AZ6" s="277" t="s">
        <v>26</v>
      </c>
      <c r="BA6" s="280" t="s">
        <v>74</v>
      </c>
      <c r="BB6" s="281"/>
      <c r="BC6" s="281"/>
      <c r="BD6" s="281"/>
      <c r="BE6" s="281"/>
      <c r="BF6" s="282"/>
      <c r="BG6" s="277" t="s">
        <v>26</v>
      </c>
      <c r="BH6" s="280" t="s">
        <v>74</v>
      </c>
      <c r="BI6" s="281"/>
      <c r="BJ6" s="281"/>
      <c r="BK6" s="281"/>
      <c r="BL6" s="281"/>
      <c r="BM6" s="282"/>
      <c r="BN6" s="277" t="s">
        <v>26</v>
      </c>
      <c r="BO6" s="280" t="s">
        <v>74</v>
      </c>
      <c r="BP6" s="281"/>
      <c r="BQ6" s="281"/>
      <c r="BR6" s="281"/>
      <c r="BS6" s="281"/>
      <c r="BT6" s="282"/>
      <c r="BU6" s="265" t="s">
        <v>26</v>
      </c>
      <c r="BV6" s="268" t="s">
        <v>74</v>
      </c>
      <c r="BW6" s="269"/>
      <c r="BX6" s="269"/>
      <c r="BY6" s="269"/>
      <c r="BZ6" s="269"/>
      <c r="CA6" s="270"/>
      <c r="CB6" s="265" t="s">
        <v>26</v>
      </c>
      <c r="CC6" s="268" t="s">
        <v>74</v>
      </c>
      <c r="CD6" s="269"/>
      <c r="CE6" s="269"/>
      <c r="CF6" s="269"/>
      <c r="CG6" s="269"/>
      <c r="CH6" s="270"/>
      <c r="CI6" s="265" t="s">
        <v>26</v>
      </c>
      <c r="CJ6" s="268" t="s">
        <v>74</v>
      </c>
      <c r="CK6" s="269"/>
      <c r="CL6" s="269"/>
      <c r="CM6" s="269"/>
      <c r="CN6" s="269"/>
      <c r="CO6" s="270"/>
      <c r="CP6" s="265" t="s">
        <v>26</v>
      </c>
      <c r="CQ6" s="268" t="s">
        <v>74</v>
      </c>
      <c r="CR6" s="269"/>
      <c r="CS6" s="269"/>
      <c r="CT6" s="269"/>
      <c r="CU6" s="269"/>
      <c r="CV6" s="270"/>
      <c r="CW6" s="265" t="s">
        <v>26</v>
      </c>
      <c r="CX6" s="268" t="s">
        <v>74</v>
      </c>
      <c r="CY6" s="269"/>
      <c r="CZ6" s="269"/>
      <c r="DA6" s="269"/>
      <c r="DB6" s="269"/>
      <c r="DC6" s="270"/>
    </row>
    <row r="7" spans="1:107" ht="30" customHeight="1" x14ac:dyDescent="0.25">
      <c r="A7" s="260"/>
      <c r="B7" s="263"/>
      <c r="C7" s="278"/>
      <c r="D7" s="283" t="s">
        <v>78</v>
      </c>
      <c r="E7" s="284"/>
      <c r="F7" s="285" t="s">
        <v>69</v>
      </c>
      <c r="G7" s="286"/>
      <c r="H7" s="285" t="s">
        <v>70</v>
      </c>
      <c r="I7" s="286"/>
      <c r="J7" s="278"/>
      <c r="K7" s="283" t="s">
        <v>78</v>
      </c>
      <c r="L7" s="284"/>
      <c r="M7" s="285" t="s">
        <v>69</v>
      </c>
      <c r="N7" s="286"/>
      <c r="O7" s="285" t="s">
        <v>70</v>
      </c>
      <c r="P7" s="286"/>
      <c r="Q7" s="278"/>
      <c r="R7" s="283" t="s">
        <v>78</v>
      </c>
      <c r="S7" s="284"/>
      <c r="T7" s="285" t="s">
        <v>69</v>
      </c>
      <c r="U7" s="286"/>
      <c r="V7" s="287" t="s">
        <v>70</v>
      </c>
      <c r="W7" s="288"/>
      <c r="X7" s="278"/>
      <c r="Y7" s="283" t="s">
        <v>78</v>
      </c>
      <c r="Z7" s="284"/>
      <c r="AA7" s="285" t="s">
        <v>69</v>
      </c>
      <c r="AB7" s="286"/>
      <c r="AC7" s="287" t="s">
        <v>70</v>
      </c>
      <c r="AD7" s="288"/>
      <c r="AE7" s="278"/>
      <c r="AF7" s="283" t="s">
        <v>78</v>
      </c>
      <c r="AG7" s="284"/>
      <c r="AH7" s="285" t="s">
        <v>69</v>
      </c>
      <c r="AI7" s="286"/>
      <c r="AJ7" s="287" t="s">
        <v>70</v>
      </c>
      <c r="AK7" s="288"/>
      <c r="AL7" s="278"/>
      <c r="AM7" s="283" t="s">
        <v>78</v>
      </c>
      <c r="AN7" s="284"/>
      <c r="AO7" s="285" t="s">
        <v>69</v>
      </c>
      <c r="AP7" s="286"/>
      <c r="AQ7" s="287" t="s">
        <v>70</v>
      </c>
      <c r="AR7" s="288"/>
      <c r="AS7" s="278"/>
      <c r="AT7" s="283" t="s">
        <v>78</v>
      </c>
      <c r="AU7" s="284"/>
      <c r="AV7" s="285" t="s">
        <v>69</v>
      </c>
      <c r="AW7" s="286"/>
      <c r="AX7" s="287" t="s">
        <v>70</v>
      </c>
      <c r="AY7" s="288"/>
      <c r="AZ7" s="278"/>
      <c r="BA7" s="283" t="s">
        <v>78</v>
      </c>
      <c r="BB7" s="284"/>
      <c r="BC7" s="285" t="s">
        <v>69</v>
      </c>
      <c r="BD7" s="286"/>
      <c r="BE7" s="287" t="s">
        <v>70</v>
      </c>
      <c r="BF7" s="288"/>
      <c r="BG7" s="278"/>
      <c r="BH7" s="283" t="s">
        <v>78</v>
      </c>
      <c r="BI7" s="284"/>
      <c r="BJ7" s="285" t="s">
        <v>69</v>
      </c>
      <c r="BK7" s="286"/>
      <c r="BL7" s="287" t="s">
        <v>70</v>
      </c>
      <c r="BM7" s="288"/>
      <c r="BN7" s="278"/>
      <c r="BO7" s="283" t="s">
        <v>78</v>
      </c>
      <c r="BP7" s="284"/>
      <c r="BQ7" s="285" t="s">
        <v>69</v>
      </c>
      <c r="BR7" s="286"/>
      <c r="BS7" s="287" t="s">
        <v>70</v>
      </c>
      <c r="BT7" s="288"/>
      <c r="BU7" s="266"/>
      <c r="BV7" s="271" t="s">
        <v>78</v>
      </c>
      <c r="BW7" s="272"/>
      <c r="BX7" s="273" t="s">
        <v>69</v>
      </c>
      <c r="BY7" s="274"/>
      <c r="BZ7" s="275" t="s">
        <v>70</v>
      </c>
      <c r="CA7" s="276"/>
      <c r="CB7" s="266"/>
      <c r="CC7" s="271" t="s">
        <v>78</v>
      </c>
      <c r="CD7" s="272"/>
      <c r="CE7" s="273" t="s">
        <v>69</v>
      </c>
      <c r="CF7" s="274"/>
      <c r="CG7" s="275" t="s">
        <v>70</v>
      </c>
      <c r="CH7" s="276"/>
      <c r="CI7" s="266"/>
      <c r="CJ7" s="271" t="s">
        <v>78</v>
      </c>
      <c r="CK7" s="272"/>
      <c r="CL7" s="273" t="s">
        <v>69</v>
      </c>
      <c r="CM7" s="274"/>
      <c r="CN7" s="275" t="s">
        <v>70</v>
      </c>
      <c r="CO7" s="276"/>
      <c r="CP7" s="266"/>
      <c r="CQ7" s="271" t="s">
        <v>78</v>
      </c>
      <c r="CR7" s="272"/>
      <c r="CS7" s="273" t="s">
        <v>69</v>
      </c>
      <c r="CT7" s="274"/>
      <c r="CU7" s="275" t="s">
        <v>70</v>
      </c>
      <c r="CV7" s="276"/>
      <c r="CW7" s="266"/>
      <c r="CX7" s="271" t="s">
        <v>78</v>
      </c>
      <c r="CY7" s="272"/>
      <c r="CZ7" s="273" t="s">
        <v>69</v>
      </c>
      <c r="DA7" s="274"/>
      <c r="DB7" s="275" t="s">
        <v>70</v>
      </c>
      <c r="DC7" s="276"/>
    </row>
    <row r="8" spans="1:107" s="8" customFormat="1" ht="27" thickBot="1" x14ac:dyDescent="0.3">
      <c r="A8" s="261"/>
      <c r="B8" s="264"/>
      <c r="C8" s="279"/>
      <c r="D8" s="83" t="s">
        <v>32</v>
      </c>
      <c r="E8" s="84" t="s">
        <v>33</v>
      </c>
      <c r="F8" s="83" t="s">
        <v>32</v>
      </c>
      <c r="G8" s="85" t="s">
        <v>33</v>
      </c>
      <c r="H8" s="83" t="s">
        <v>32</v>
      </c>
      <c r="I8" s="86" t="s">
        <v>33</v>
      </c>
      <c r="J8" s="279"/>
      <c r="K8" s="83" t="s">
        <v>32</v>
      </c>
      <c r="L8" s="84" t="s">
        <v>33</v>
      </c>
      <c r="M8" s="83" t="s">
        <v>32</v>
      </c>
      <c r="N8" s="85" t="s">
        <v>33</v>
      </c>
      <c r="O8" s="83" t="s">
        <v>32</v>
      </c>
      <c r="P8" s="86" t="s">
        <v>33</v>
      </c>
      <c r="Q8" s="279"/>
      <c r="R8" s="83" t="s">
        <v>32</v>
      </c>
      <c r="S8" s="84" t="s">
        <v>33</v>
      </c>
      <c r="T8" s="83" t="s">
        <v>32</v>
      </c>
      <c r="U8" s="85" t="s">
        <v>33</v>
      </c>
      <c r="V8" s="83" t="s">
        <v>32</v>
      </c>
      <c r="W8" s="86" t="s">
        <v>33</v>
      </c>
      <c r="X8" s="279"/>
      <c r="Y8" s="83" t="s">
        <v>32</v>
      </c>
      <c r="Z8" s="84" t="s">
        <v>33</v>
      </c>
      <c r="AA8" s="83" t="s">
        <v>32</v>
      </c>
      <c r="AB8" s="85" t="s">
        <v>33</v>
      </c>
      <c r="AC8" s="83" t="s">
        <v>32</v>
      </c>
      <c r="AD8" s="86" t="s">
        <v>33</v>
      </c>
      <c r="AE8" s="279"/>
      <c r="AF8" s="83" t="s">
        <v>32</v>
      </c>
      <c r="AG8" s="84" t="s">
        <v>33</v>
      </c>
      <c r="AH8" s="83" t="s">
        <v>32</v>
      </c>
      <c r="AI8" s="85" t="s">
        <v>33</v>
      </c>
      <c r="AJ8" s="83" t="s">
        <v>32</v>
      </c>
      <c r="AK8" s="86" t="s">
        <v>33</v>
      </c>
      <c r="AL8" s="279"/>
      <c r="AM8" s="83" t="s">
        <v>32</v>
      </c>
      <c r="AN8" s="84" t="s">
        <v>33</v>
      </c>
      <c r="AO8" s="83" t="s">
        <v>32</v>
      </c>
      <c r="AP8" s="85" t="s">
        <v>33</v>
      </c>
      <c r="AQ8" s="83" t="s">
        <v>32</v>
      </c>
      <c r="AR8" s="86" t="s">
        <v>33</v>
      </c>
      <c r="AS8" s="279"/>
      <c r="AT8" s="83" t="s">
        <v>32</v>
      </c>
      <c r="AU8" s="84" t="s">
        <v>33</v>
      </c>
      <c r="AV8" s="83" t="s">
        <v>32</v>
      </c>
      <c r="AW8" s="85" t="s">
        <v>33</v>
      </c>
      <c r="AX8" s="83" t="s">
        <v>32</v>
      </c>
      <c r="AY8" s="86" t="s">
        <v>33</v>
      </c>
      <c r="AZ8" s="279"/>
      <c r="BA8" s="83" t="s">
        <v>32</v>
      </c>
      <c r="BB8" s="84" t="s">
        <v>33</v>
      </c>
      <c r="BC8" s="83" t="s">
        <v>32</v>
      </c>
      <c r="BD8" s="85" t="s">
        <v>33</v>
      </c>
      <c r="BE8" s="83" t="s">
        <v>32</v>
      </c>
      <c r="BF8" s="86" t="s">
        <v>33</v>
      </c>
      <c r="BG8" s="279"/>
      <c r="BH8" s="83" t="s">
        <v>32</v>
      </c>
      <c r="BI8" s="84" t="s">
        <v>33</v>
      </c>
      <c r="BJ8" s="83" t="s">
        <v>32</v>
      </c>
      <c r="BK8" s="85" t="s">
        <v>33</v>
      </c>
      <c r="BL8" s="83" t="s">
        <v>32</v>
      </c>
      <c r="BM8" s="86" t="s">
        <v>33</v>
      </c>
      <c r="BN8" s="279"/>
      <c r="BO8" s="83" t="s">
        <v>32</v>
      </c>
      <c r="BP8" s="84" t="s">
        <v>33</v>
      </c>
      <c r="BQ8" s="83" t="s">
        <v>32</v>
      </c>
      <c r="BR8" s="85" t="s">
        <v>33</v>
      </c>
      <c r="BS8" s="83" t="s">
        <v>32</v>
      </c>
      <c r="BT8" s="86" t="s">
        <v>33</v>
      </c>
      <c r="BU8" s="267"/>
      <c r="BV8" s="96" t="s">
        <v>32</v>
      </c>
      <c r="BW8" s="97" t="s">
        <v>33</v>
      </c>
      <c r="BX8" s="96" t="s">
        <v>32</v>
      </c>
      <c r="BY8" s="98" t="s">
        <v>33</v>
      </c>
      <c r="BZ8" s="96" t="s">
        <v>32</v>
      </c>
      <c r="CA8" s="99" t="s">
        <v>33</v>
      </c>
      <c r="CB8" s="267"/>
      <c r="CC8" s="96" t="s">
        <v>32</v>
      </c>
      <c r="CD8" s="97" t="s">
        <v>33</v>
      </c>
      <c r="CE8" s="96" t="s">
        <v>32</v>
      </c>
      <c r="CF8" s="98" t="s">
        <v>33</v>
      </c>
      <c r="CG8" s="96" t="s">
        <v>32</v>
      </c>
      <c r="CH8" s="99" t="s">
        <v>33</v>
      </c>
      <c r="CI8" s="267"/>
      <c r="CJ8" s="96" t="s">
        <v>32</v>
      </c>
      <c r="CK8" s="97" t="s">
        <v>33</v>
      </c>
      <c r="CL8" s="96" t="s">
        <v>32</v>
      </c>
      <c r="CM8" s="98" t="s">
        <v>33</v>
      </c>
      <c r="CN8" s="96" t="s">
        <v>32</v>
      </c>
      <c r="CO8" s="99" t="s">
        <v>33</v>
      </c>
      <c r="CP8" s="267"/>
      <c r="CQ8" s="96" t="s">
        <v>32</v>
      </c>
      <c r="CR8" s="97" t="s">
        <v>33</v>
      </c>
      <c r="CS8" s="96" t="s">
        <v>32</v>
      </c>
      <c r="CT8" s="98" t="s">
        <v>33</v>
      </c>
      <c r="CU8" s="96" t="s">
        <v>32</v>
      </c>
      <c r="CV8" s="99" t="s">
        <v>33</v>
      </c>
      <c r="CW8" s="267"/>
      <c r="CX8" s="96" t="s">
        <v>32</v>
      </c>
      <c r="CY8" s="97" t="s">
        <v>33</v>
      </c>
      <c r="CZ8" s="96" t="s">
        <v>32</v>
      </c>
      <c r="DA8" s="98" t="s">
        <v>33</v>
      </c>
      <c r="DB8" s="96" t="s">
        <v>32</v>
      </c>
      <c r="DC8" s="99" t="s">
        <v>33</v>
      </c>
    </row>
    <row r="9" spans="1:107" s="16" customFormat="1" ht="15" customHeight="1" thickBot="1" x14ac:dyDescent="0.3">
      <c r="A9" s="9">
        <v>1</v>
      </c>
      <c r="B9" s="10">
        <v>2</v>
      </c>
      <c r="C9" s="11">
        <v>3</v>
      </c>
      <c r="D9" s="12">
        <v>4</v>
      </c>
      <c r="E9" s="13">
        <v>5</v>
      </c>
      <c r="F9" s="12">
        <v>4</v>
      </c>
      <c r="G9" s="13">
        <v>5</v>
      </c>
      <c r="H9" s="12">
        <v>6</v>
      </c>
      <c r="I9" s="14">
        <v>7</v>
      </c>
      <c r="J9" s="11">
        <v>3</v>
      </c>
      <c r="K9" s="12">
        <v>4</v>
      </c>
      <c r="L9" s="13">
        <v>5</v>
      </c>
      <c r="M9" s="12">
        <v>4</v>
      </c>
      <c r="N9" s="13">
        <v>5</v>
      </c>
      <c r="O9" s="12">
        <v>6</v>
      </c>
      <c r="P9" s="14">
        <v>7</v>
      </c>
      <c r="Q9" s="11">
        <v>3</v>
      </c>
      <c r="R9" s="12">
        <v>4</v>
      </c>
      <c r="S9" s="13">
        <v>5</v>
      </c>
      <c r="T9" s="12" t="s">
        <v>80</v>
      </c>
      <c r="U9" s="13" t="s">
        <v>81</v>
      </c>
      <c r="V9" s="12" t="s">
        <v>51</v>
      </c>
      <c r="W9" s="15" t="s">
        <v>52</v>
      </c>
      <c r="X9" s="11">
        <v>8</v>
      </c>
      <c r="Y9" s="12">
        <v>4</v>
      </c>
      <c r="Z9" s="13">
        <v>5</v>
      </c>
      <c r="AA9" s="12">
        <v>9</v>
      </c>
      <c r="AB9" s="13">
        <v>10</v>
      </c>
      <c r="AC9" s="12">
        <v>11</v>
      </c>
      <c r="AD9" s="15">
        <v>12</v>
      </c>
      <c r="AE9" s="11" t="s">
        <v>51</v>
      </c>
      <c r="AF9" s="12">
        <v>4</v>
      </c>
      <c r="AG9" s="13">
        <v>5</v>
      </c>
      <c r="AH9" s="12" t="s">
        <v>52</v>
      </c>
      <c r="AI9" s="13" t="s">
        <v>53</v>
      </c>
      <c r="AJ9" s="12" t="s">
        <v>54</v>
      </c>
      <c r="AK9" s="15" t="s">
        <v>55</v>
      </c>
      <c r="AL9" s="11" t="s">
        <v>53</v>
      </c>
      <c r="AM9" s="12" t="s">
        <v>54</v>
      </c>
      <c r="AN9" s="13" t="s">
        <v>55</v>
      </c>
      <c r="AO9" s="12" t="s">
        <v>56</v>
      </c>
      <c r="AP9" s="13" t="s">
        <v>57</v>
      </c>
      <c r="AQ9" s="12" t="s">
        <v>58</v>
      </c>
      <c r="AR9" s="15" t="s">
        <v>59</v>
      </c>
      <c r="AS9" s="11" t="s">
        <v>34</v>
      </c>
      <c r="AT9" s="12" t="s">
        <v>35</v>
      </c>
      <c r="AU9" s="13" t="s">
        <v>36</v>
      </c>
      <c r="AV9" s="12" t="s">
        <v>37</v>
      </c>
      <c r="AW9" s="13" t="s">
        <v>38</v>
      </c>
      <c r="AX9" s="12" t="s">
        <v>39</v>
      </c>
      <c r="AY9" s="15" t="s">
        <v>40</v>
      </c>
      <c r="AZ9" s="11" t="s">
        <v>41</v>
      </c>
      <c r="BA9" s="12" t="s">
        <v>42</v>
      </c>
      <c r="BB9" s="13" t="s">
        <v>82</v>
      </c>
      <c r="BC9" s="12" t="s">
        <v>83</v>
      </c>
      <c r="BD9" s="13" t="s">
        <v>84</v>
      </c>
      <c r="BE9" s="12" t="s">
        <v>85</v>
      </c>
      <c r="BF9" s="15" t="s">
        <v>86</v>
      </c>
      <c r="BG9" s="11" t="s">
        <v>87</v>
      </c>
      <c r="BH9" s="12" t="s">
        <v>88</v>
      </c>
      <c r="BI9" s="13" t="s">
        <v>89</v>
      </c>
      <c r="BJ9" s="12" t="s">
        <v>90</v>
      </c>
      <c r="BK9" s="13" t="s">
        <v>91</v>
      </c>
      <c r="BL9" s="12" t="s">
        <v>92</v>
      </c>
      <c r="BM9" s="15" t="s">
        <v>93</v>
      </c>
      <c r="BN9" s="11" t="s">
        <v>105</v>
      </c>
      <c r="BO9" s="12" t="s">
        <v>106</v>
      </c>
      <c r="BP9" s="13" t="s">
        <v>107</v>
      </c>
      <c r="BQ9" s="12" t="s">
        <v>108</v>
      </c>
      <c r="BR9" s="13" t="s">
        <v>109</v>
      </c>
      <c r="BS9" s="12" t="s">
        <v>110</v>
      </c>
      <c r="BT9" s="15" t="s">
        <v>111</v>
      </c>
      <c r="BU9" s="11" t="s">
        <v>112</v>
      </c>
      <c r="BV9" s="12" t="s">
        <v>113</v>
      </c>
      <c r="BW9" s="13" t="s">
        <v>114</v>
      </c>
      <c r="BX9" s="12" t="s">
        <v>115</v>
      </c>
      <c r="BY9" s="13" t="s">
        <v>116</v>
      </c>
      <c r="BZ9" s="12" t="s">
        <v>117</v>
      </c>
      <c r="CA9" s="15" t="s">
        <v>118</v>
      </c>
      <c r="CB9" s="11" t="s">
        <v>119</v>
      </c>
      <c r="CC9" s="12" t="s">
        <v>120</v>
      </c>
      <c r="CD9" s="13" t="s">
        <v>121</v>
      </c>
      <c r="CE9" s="12" t="s">
        <v>122</v>
      </c>
      <c r="CF9" s="13" t="s">
        <v>123</v>
      </c>
      <c r="CG9" s="12" t="s">
        <v>124</v>
      </c>
      <c r="CH9" s="15" t="s">
        <v>125</v>
      </c>
      <c r="CI9" s="11" t="s">
        <v>126</v>
      </c>
      <c r="CJ9" s="12" t="s">
        <v>127</v>
      </c>
      <c r="CK9" s="13" t="s">
        <v>128</v>
      </c>
      <c r="CL9" s="12" t="s">
        <v>129</v>
      </c>
      <c r="CM9" s="13" t="s">
        <v>130</v>
      </c>
      <c r="CN9" s="12" t="s">
        <v>131</v>
      </c>
      <c r="CO9" s="15" t="s">
        <v>132</v>
      </c>
      <c r="CP9" s="11" t="s">
        <v>142</v>
      </c>
      <c r="CQ9" s="12" t="s">
        <v>143</v>
      </c>
      <c r="CR9" s="13" t="s">
        <v>144</v>
      </c>
      <c r="CS9" s="12" t="s">
        <v>145</v>
      </c>
      <c r="CT9" s="13" t="s">
        <v>146</v>
      </c>
      <c r="CU9" s="12" t="s">
        <v>147</v>
      </c>
      <c r="CV9" s="15" t="s">
        <v>148</v>
      </c>
      <c r="CW9" s="11" t="s">
        <v>142</v>
      </c>
      <c r="CX9" s="12" t="s">
        <v>143</v>
      </c>
      <c r="CY9" s="13" t="s">
        <v>144</v>
      </c>
      <c r="CZ9" s="12" t="s">
        <v>145</v>
      </c>
      <c r="DA9" s="13" t="s">
        <v>146</v>
      </c>
      <c r="DB9" s="12" t="s">
        <v>147</v>
      </c>
      <c r="DC9" s="15" t="s">
        <v>148</v>
      </c>
    </row>
    <row r="10" spans="1:107" ht="51.9" customHeight="1" x14ac:dyDescent="0.25">
      <c r="A10" s="17">
        <v>1</v>
      </c>
      <c r="B10" s="18" t="s">
        <v>49</v>
      </c>
      <c r="C10" s="19">
        <v>249</v>
      </c>
      <c r="D10" s="20">
        <f>C10-F10-H10</f>
        <v>201</v>
      </c>
      <c r="E10" s="21">
        <f>D10*100/C10</f>
        <v>80.722891566265062</v>
      </c>
      <c r="F10" s="20">
        <v>33</v>
      </c>
      <c r="G10" s="21">
        <f>F10*100/C10</f>
        <v>13.253012048192771</v>
      </c>
      <c r="H10" s="20">
        <v>15</v>
      </c>
      <c r="I10" s="22">
        <f>H10*100/C10</f>
        <v>6.024096385542169</v>
      </c>
      <c r="J10" s="19">
        <v>273</v>
      </c>
      <c r="K10" s="20">
        <f>J10-M10-O10</f>
        <v>215</v>
      </c>
      <c r="L10" s="21">
        <f>K10*100/J10</f>
        <v>78.754578754578759</v>
      </c>
      <c r="M10" s="20">
        <v>39</v>
      </c>
      <c r="N10" s="21">
        <f>M10*100/J10</f>
        <v>14.285714285714286</v>
      </c>
      <c r="O10" s="20">
        <v>19</v>
      </c>
      <c r="P10" s="22">
        <f>O10*100/J10</f>
        <v>6.9597069597069599</v>
      </c>
      <c r="Q10" s="19">
        <v>296</v>
      </c>
      <c r="R10" s="20">
        <f>Q10-T10-V10</f>
        <v>238</v>
      </c>
      <c r="S10" s="21">
        <f>R10*100/Q10</f>
        <v>80.405405405405403</v>
      </c>
      <c r="T10" s="20">
        <v>36</v>
      </c>
      <c r="U10" s="23">
        <f>T10*100/Q10</f>
        <v>12.162162162162161</v>
      </c>
      <c r="V10" s="20">
        <v>22</v>
      </c>
      <c r="W10" s="24">
        <f>V10*100/Q10</f>
        <v>7.4324324324324325</v>
      </c>
      <c r="X10" s="19" t="e">
        <f>Grunddaten!#REF!</f>
        <v>#REF!</v>
      </c>
      <c r="Y10" s="20" t="e">
        <f>X10-AA10-AC10</f>
        <v>#REF!</v>
      </c>
      <c r="Z10" s="21" t="e">
        <f>Y10*100/X10</f>
        <v>#REF!</v>
      </c>
      <c r="AA10" s="20">
        <v>40</v>
      </c>
      <c r="AB10" s="23" t="e">
        <f>AA10*100/X10</f>
        <v>#REF!</v>
      </c>
      <c r="AC10" s="20">
        <v>24</v>
      </c>
      <c r="AD10" s="24" t="e">
        <f>AC10*100/X10</f>
        <v>#REF!</v>
      </c>
      <c r="AE10" s="19">
        <v>371</v>
      </c>
      <c r="AF10" s="20" t="e">
        <f>AE10-AH10-AJ10</f>
        <v>#REF!</v>
      </c>
      <c r="AG10" s="21" t="e">
        <f>AF10*100/AE10</f>
        <v>#REF!</v>
      </c>
      <c r="AH10" s="20" t="e">
        <f>Grunddaten!#REF!</f>
        <v>#REF!</v>
      </c>
      <c r="AI10" s="23" t="e">
        <f>AH10*100/AE10</f>
        <v>#REF!</v>
      </c>
      <c r="AJ10" s="20">
        <v>24</v>
      </c>
      <c r="AK10" s="24">
        <f>AJ10*100/AE10</f>
        <v>6.4690026954177897</v>
      </c>
      <c r="AL10" s="19">
        <v>401</v>
      </c>
      <c r="AM10" s="20" t="e">
        <f>AL10-AO10-AQ10</f>
        <v>#REF!</v>
      </c>
      <c r="AN10" s="21" t="e">
        <f>AM10*100/AL10</f>
        <v>#REF!</v>
      </c>
      <c r="AO10" s="20" t="e">
        <f>Grunddaten!#REF!</f>
        <v>#REF!</v>
      </c>
      <c r="AP10" s="23" t="e">
        <f>AO10*100/AL10</f>
        <v>#REF!</v>
      </c>
      <c r="AQ10" s="20">
        <v>36</v>
      </c>
      <c r="AR10" s="24">
        <f>AQ10*100/AL10</f>
        <v>8.9775561097256862</v>
      </c>
      <c r="AS10" s="19">
        <v>384</v>
      </c>
      <c r="AT10" s="20" t="e">
        <f>AS10-AV10-AX10</f>
        <v>#REF!</v>
      </c>
      <c r="AU10" s="21" t="e">
        <f>AT10*100/AS10</f>
        <v>#REF!</v>
      </c>
      <c r="AV10" s="20" t="e">
        <f>Grunddaten!#REF!</f>
        <v>#REF!</v>
      </c>
      <c r="AW10" s="23" t="e">
        <f>AV10*100/AS10</f>
        <v>#REF!</v>
      </c>
      <c r="AX10" s="20" t="e">
        <f>Grunddaten!#REF!</f>
        <v>#REF!</v>
      </c>
      <c r="AY10" s="24" t="e">
        <f>AX10*100/AS10</f>
        <v>#REF!</v>
      </c>
      <c r="AZ10" s="19">
        <v>344</v>
      </c>
      <c r="BA10" s="20">
        <f>AZ10-BC10-BE10</f>
        <v>290</v>
      </c>
      <c r="BB10" s="21">
        <f>BA10*100/AZ10</f>
        <v>84.302325581395351</v>
      </c>
      <c r="BC10" s="20">
        <v>18</v>
      </c>
      <c r="BD10" s="23">
        <f>BC10*100/AZ10</f>
        <v>5.2325581395348841</v>
      </c>
      <c r="BE10" s="20">
        <v>36</v>
      </c>
      <c r="BF10" s="24">
        <f>BE10*100/AZ10</f>
        <v>10.465116279069768</v>
      </c>
      <c r="BG10" s="19">
        <v>343</v>
      </c>
      <c r="BH10" s="20">
        <f>BG10-BJ10-BL10</f>
        <v>276</v>
      </c>
      <c r="BI10" s="21">
        <f>BH10*100/BG10</f>
        <v>80.466472303206999</v>
      </c>
      <c r="BJ10" s="20">
        <v>29</v>
      </c>
      <c r="BK10" s="23">
        <f>BJ10*100/BG10</f>
        <v>8.4548104956268215</v>
      </c>
      <c r="BL10" s="20">
        <v>38</v>
      </c>
      <c r="BM10" s="24">
        <f>BL10*100/BG10</f>
        <v>11.078717201166182</v>
      </c>
      <c r="BN10" s="19">
        <v>338</v>
      </c>
      <c r="BO10" s="20">
        <f>BN10-BQ10-BS10</f>
        <v>277</v>
      </c>
      <c r="BP10" s="21">
        <f>BO10*100/BN10</f>
        <v>81.952662721893489</v>
      </c>
      <c r="BQ10" s="20">
        <v>28</v>
      </c>
      <c r="BR10" s="23">
        <f>BQ10*100/BN10</f>
        <v>8.2840236686390529</v>
      </c>
      <c r="BS10" s="20">
        <v>33</v>
      </c>
      <c r="BT10" s="24">
        <f>BS10*100/BN10</f>
        <v>9.7633136094674562</v>
      </c>
      <c r="BU10" s="19">
        <v>340</v>
      </c>
      <c r="BV10" s="20">
        <f>BU10-BX10-BZ10</f>
        <v>281</v>
      </c>
      <c r="BW10" s="21">
        <f>BV10*100/BU10</f>
        <v>82.647058823529406</v>
      </c>
      <c r="BX10" s="20">
        <v>26</v>
      </c>
      <c r="BY10" s="23">
        <f>BX10*100/BU10</f>
        <v>7.6470588235294121</v>
      </c>
      <c r="BZ10" s="20">
        <v>33</v>
      </c>
      <c r="CA10" s="24">
        <f>BZ10*100/BU10</f>
        <v>9.7058823529411757</v>
      </c>
      <c r="CB10" s="19">
        <v>298</v>
      </c>
      <c r="CC10" s="20">
        <f>CB10-CE10-CG10</f>
        <v>248</v>
      </c>
      <c r="CD10" s="21">
        <f>CC10*100/CB10</f>
        <v>83.22147651006712</v>
      </c>
      <c r="CE10" s="20">
        <v>23</v>
      </c>
      <c r="CF10" s="23">
        <f>CE10*100/CB10</f>
        <v>7.7181208053691277</v>
      </c>
      <c r="CG10" s="20">
        <v>27</v>
      </c>
      <c r="CH10" s="24">
        <f>CG10*100/CB10</f>
        <v>9.0604026845637584</v>
      </c>
      <c r="CI10" s="19">
        <v>280</v>
      </c>
      <c r="CJ10" s="20">
        <f>CI10-CL10-CN10</f>
        <v>243</v>
      </c>
      <c r="CK10" s="21">
        <f>CJ10*100/CI10</f>
        <v>86.785714285714292</v>
      </c>
      <c r="CL10" s="20">
        <v>16</v>
      </c>
      <c r="CM10" s="23">
        <f>CL10*100/CI10</f>
        <v>5.7142857142857144</v>
      </c>
      <c r="CN10" s="20">
        <v>21</v>
      </c>
      <c r="CO10" s="24">
        <f>CN10*100/CI10</f>
        <v>7.5</v>
      </c>
      <c r="CP10" s="19">
        <v>246</v>
      </c>
      <c r="CQ10" s="20">
        <f>CP10-CS10-CU10</f>
        <v>229</v>
      </c>
      <c r="CR10" s="21">
        <f>CQ10*100/CP10</f>
        <v>93.089430894308947</v>
      </c>
      <c r="CS10" s="20">
        <v>0</v>
      </c>
      <c r="CT10" s="23">
        <f>CS10*100/CP10</f>
        <v>0</v>
      </c>
      <c r="CU10" s="20">
        <v>17</v>
      </c>
      <c r="CV10" s="24">
        <f>CU10*100/CP10</f>
        <v>6.9105691056910565</v>
      </c>
      <c r="CW10" s="19">
        <v>194</v>
      </c>
      <c r="CX10" s="20">
        <f>CW10-CZ10-DB10</f>
        <v>172</v>
      </c>
      <c r="CY10" s="21">
        <f>CX10*100/CW10</f>
        <v>88.659793814432987</v>
      </c>
      <c r="CZ10" s="20">
        <v>8</v>
      </c>
      <c r="DA10" s="23">
        <f>CZ10*100/CW10</f>
        <v>4.1237113402061851</v>
      </c>
      <c r="DB10" s="20">
        <v>14</v>
      </c>
      <c r="DC10" s="24">
        <f>DB10*100/CW10</f>
        <v>7.2164948453608249</v>
      </c>
    </row>
    <row r="11" spans="1:107" ht="51.9" customHeight="1" x14ac:dyDescent="0.25">
      <c r="A11" s="25">
        <f t="shared" ref="A11:A17" si="0">A10+1</f>
        <v>2</v>
      </c>
      <c r="B11" s="26" t="s">
        <v>10</v>
      </c>
      <c r="C11" s="25">
        <v>506</v>
      </c>
      <c r="D11" s="27">
        <f t="shared" ref="D11:D18" si="1">C11-F11-H11</f>
        <v>226</v>
      </c>
      <c r="E11" s="28">
        <f t="shared" ref="E11:E18" si="2">D11*100/C11</f>
        <v>44.664031620553359</v>
      </c>
      <c r="F11" s="27">
        <v>251</v>
      </c>
      <c r="G11" s="28">
        <f t="shared" ref="G11:G18" si="3">F11*100/C11</f>
        <v>49.604743083003953</v>
      </c>
      <c r="H11" s="27">
        <v>29</v>
      </c>
      <c r="I11" s="1">
        <f t="shared" ref="I11:I18" si="4">H11*100/C11</f>
        <v>5.7312252964426875</v>
      </c>
      <c r="J11" s="25">
        <v>461</v>
      </c>
      <c r="K11" s="27">
        <f t="shared" ref="K11:K18" si="5">J11-M11-O11</f>
        <v>199</v>
      </c>
      <c r="L11" s="28">
        <f t="shared" ref="L11:L18" si="6">K11*100/J11</f>
        <v>43.167028199566161</v>
      </c>
      <c r="M11" s="27">
        <v>234</v>
      </c>
      <c r="N11" s="28">
        <f t="shared" ref="N11:N18" si="7">M11*100/J11</f>
        <v>50.759219088937094</v>
      </c>
      <c r="O11" s="27">
        <v>28</v>
      </c>
      <c r="P11" s="1">
        <f t="shared" ref="P11:P18" si="8">O11*100/J11</f>
        <v>6.0737527114967458</v>
      </c>
      <c r="Q11" s="25">
        <v>468</v>
      </c>
      <c r="R11" s="27">
        <f t="shared" ref="R11:R18" si="9">Q11-T11-V11</f>
        <v>207</v>
      </c>
      <c r="S11" s="28">
        <f t="shared" ref="S11:S18" si="10">R11*100/Q11</f>
        <v>44.230769230769234</v>
      </c>
      <c r="T11" s="27">
        <v>226</v>
      </c>
      <c r="U11" s="29">
        <f t="shared" ref="U11:U18" si="11">T11*100/Q11</f>
        <v>48.29059829059829</v>
      </c>
      <c r="V11" s="27">
        <v>35</v>
      </c>
      <c r="W11" s="30">
        <f t="shared" ref="W11:W18" si="12">V11*100/Q11</f>
        <v>7.4786324786324787</v>
      </c>
      <c r="X11" s="25" t="e">
        <f>Grunddaten!#REF!</f>
        <v>#REF!</v>
      </c>
      <c r="Y11" s="27" t="e">
        <f t="shared" ref="Y11:Y18" si="13">X11-AA11-AC11</f>
        <v>#REF!</v>
      </c>
      <c r="Z11" s="28" t="e">
        <f t="shared" ref="Z11:Z18" si="14">Y11*100/X11</f>
        <v>#REF!</v>
      </c>
      <c r="AA11" s="27">
        <v>193</v>
      </c>
      <c r="AB11" s="29" t="e">
        <f t="shared" ref="AB11:AB18" si="15">AA11*100/X11</f>
        <v>#REF!</v>
      </c>
      <c r="AC11" s="27">
        <v>33</v>
      </c>
      <c r="AD11" s="30" t="e">
        <f t="shared" ref="AD11:AD18" si="16">AC11*100/X11</f>
        <v>#REF!</v>
      </c>
      <c r="AE11" s="25">
        <v>428</v>
      </c>
      <c r="AF11" s="27" t="e">
        <f t="shared" ref="AF11:AF18" si="17">AE11-AH11-AJ11</f>
        <v>#REF!</v>
      </c>
      <c r="AG11" s="28" t="e">
        <f t="shared" ref="AG11:AG18" si="18">AF11*100/AE11</f>
        <v>#REF!</v>
      </c>
      <c r="AH11" s="27" t="e">
        <f>Grunddaten!#REF!</f>
        <v>#REF!</v>
      </c>
      <c r="AI11" s="29" t="e">
        <f t="shared" ref="AI11:AI18" si="19">AH11*100/AE11</f>
        <v>#REF!</v>
      </c>
      <c r="AJ11" s="27">
        <v>38</v>
      </c>
      <c r="AK11" s="30">
        <f t="shared" ref="AK11:AK18" si="20">AJ11*100/AE11</f>
        <v>8.878504672897197</v>
      </c>
      <c r="AL11" s="25">
        <v>421</v>
      </c>
      <c r="AM11" s="27" t="e">
        <f t="shared" ref="AM11:AM18" si="21">AL11-AO11-AQ11</f>
        <v>#REF!</v>
      </c>
      <c r="AN11" s="28" t="e">
        <f t="shared" ref="AN11:AN18" si="22">AM11*100/AL11</f>
        <v>#REF!</v>
      </c>
      <c r="AO11" s="27" t="e">
        <f>Grunddaten!#REF!</f>
        <v>#REF!</v>
      </c>
      <c r="AP11" s="29" t="e">
        <f t="shared" ref="AP11:AP18" si="23">AO11*100/AL11</f>
        <v>#REF!</v>
      </c>
      <c r="AQ11" s="27">
        <v>41</v>
      </c>
      <c r="AR11" s="30">
        <f t="shared" ref="AR11:AR18" si="24">AQ11*100/AL11</f>
        <v>9.738717339667458</v>
      </c>
      <c r="AS11" s="25">
        <v>397</v>
      </c>
      <c r="AT11" s="27" t="e">
        <f t="shared" ref="AT11:AT18" si="25">AS11-AV11-AX11</f>
        <v>#REF!</v>
      </c>
      <c r="AU11" s="28" t="e">
        <f t="shared" ref="AU11:AU18" si="26">AT11*100/AS11</f>
        <v>#REF!</v>
      </c>
      <c r="AV11" s="27" t="e">
        <f>Grunddaten!#REF!</f>
        <v>#REF!</v>
      </c>
      <c r="AW11" s="29" t="e">
        <f t="shared" ref="AW11:AW18" si="27">AV11*100/AS11</f>
        <v>#REF!</v>
      </c>
      <c r="AX11" s="27" t="e">
        <f>Grunddaten!#REF!</f>
        <v>#REF!</v>
      </c>
      <c r="AY11" s="30" t="e">
        <f t="shared" ref="AY11:AY18" si="28">AX11*100/AS11</f>
        <v>#REF!</v>
      </c>
      <c r="AZ11" s="25">
        <v>321</v>
      </c>
      <c r="BA11" s="27">
        <f t="shared" ref="BA11:BA18" si="29">AZ11-BC11-BE11</f>
        <v>220</v>
      </c>
      <c r="BB11" s="28">
        <f t="shared" ref="BB11:BB18" si="30">BA11*100/AZ11</f>
        <v>68.535825545171335</v>
      </c>
      <c r="BC11" s="27">
        <v>48</v>
      </c>
      <c r="BD11" s="29">
        <f t="shared" ref="BD11:BD18" si="31">BC11*100/AZ11</f>
        <v>14.953271028037383</v>
      </c>
      <c r="BE11" s="27">
        <v>53</v>
      </c>
      <c r="BF11" s="30">
        <f t="shared" ref="BF11:BF18" si="32">BE11*100/AZ11</f>
        <v>16.510903426791277</v>
      </c>
      <c r="BG11" s="25">
        <v>281</v>
      </c>
      <c r="BH11" s="27">
        <f t="shared" ref="BH11:BH18" si="33">BG11-BJ11-BL11</f>
        <v>209</v>
      </c>
      <c r="BI11" s="28">
        <f t="shared" ref="BI11:BI18" si="34">BH11*100/BG11</f>
        <v>74.37722419928825</v>
      </c>
      <c r="BJ11" s="27">
        <v>32</v>
      </c>
      <c r="BK11" s="29">
        <f t="shared" ref="BK11:BK18" si="35">BJ11*100/BG11</f>
        <v>11.387900355871887</v>
      </c>
      <c r="BL11" s="27">
        <v>40</v>
      </c>
      <c r="BM11" s="30">
        <f t="shared" ref="BM11:BM18" si="36">BL11*100/BG11</f>
        <v>14.234875444839858</v>
      </c>
      <c r="BN11" s="25">
        <v>228</v>
      </c>
      <c r="BO11" s="27">
        <f t="shared" ref="BO11:BO18" si="37">BN11-BQ11-BS11</f>
        <v>173</v>
      </c>
      <c r="BP11" s="28">
        <f t="shared" ref="BP11:BP18" si="38">BO11*100/BN11</f>
        <v>75.877192982456137</v>
      </c>
      <c r="BQ11" s="27">
        <v>20</v>
      </c>
      <c r="BR11" s="29">
        <f t="shared" ref="BR11:BR18" si="39">BQ11*100/BN11</f>
        <v>8.7719298245614041</v>
      </c>
      <c r="BS11" s="27">
        <v>35</v>
      </c>
      <c r="BT11" s="30">
        <f t="shared" ref="BT11:BT18" si="40">BS11*100/BN11</f>
        <v>15.350877192982455</v>
      </c>
      <c r="BU11" s="25">
        <v>219</v>
      </c>
      <c r="BV11" s="27">
        <f t="shared" ref="BV11:BV17" si="41">BU11-BX11-BZ11</f>
        <v>171</v>
      </c>
      <c r="BW11" s="28">
        <f t="shared" ref="BW11:BW17" si="42">BV11*100/BU11</f>
        <v>78.082191780821915</v>
      </c>
      <c r="BX11" s="27">
        <v>7</v>
      </c>
      <c r="BY11" s="29">
        <f t="shared" ref="BY11:BY17" si="43">BX11*100/BU11</f>
        <v>3.1963470319634704</v>
      </c>
      <c r="BZ11" s="27">
        <v>41</v>
      </c>
      <c r="CA11" s="30">
        <f t="shared" ref="CA11:CA17" si="44">BZ11*100/BU11</f>
        <v>18.721461187214611</v>
      </c>
      <c r="CB11" s="25">
        <v>181</v>
      </c>
      <c r="CC11" s="27">
        <f t="shared" ref="CC11:CC17" si="45">CB11-CE11-CG11</f>
        <v>145</v>
      </c>
      <c r="CD11" s="28">
        <f t="shared" ref="CD11:CD17" si="46">CC11*100/CB11</f>
        <v>80.110497237569064</v>
      </c>
      <c r="CE11" s="27">
        <v>2</v>
      </c>
      <c r="CF11" s="29">
        <f t="shared" ref="CF11:CF17" si="47">CE11*100/CB11</f>
        <v>1.1049723756906078</v>
      </c>
      <c r="CG11" s="27">
        <v>34</v>
      </c>
      <c r="CH11" s="30">
        <f t="shared" ref="CH11:CH17" si="48">CG11*100/CB11</f>
        <v>18.784530386740332</v>
      </c>
      <c r="CI11" s="25">
        <v>239</v>
      </c>
      <c r="CJ11" s="27">
        <f>CI11-CL11-CN11</f>
        <v>202</v>
      </c>
      <c r="CK11" s="28">
        <f t="shared" ref="CK11:CK16" si="49">CJ11*100/CI11</f>
        <v>84.51882845188284</v>
      </c>
      <c r="CL11" s="27">
        <v>3</v>
      </c>
      <c r="CM11" s="29">
        <f t="shared" ref="CM11:CM16" si="50">CL11*100/CI11</f>
        <v>1.2552301255230125</v>
      </c>
      <c r="CN11" s="27">
        <v>34</v>
      </c>
      <c r="CO11" s="30">
        <f t="shared" ref="CO11:CO16" si="51">CN11*100/CI11</f>
        <v>14.225941422594142</v>
      </c>
      <c r="CP11" s="25">
        <v>174</v>
      </c>
      <c r="CQ11" s="27">
        <f>CP11-CS11-CU11</f>
        <v>143</v>
      </c>
      <c r="CR11" s="28">
        <f t="shared" ref="CR11:CR16" si="52">CQ11*100/CP11</f>
        <v>82.183908045977006</v>
      </c>
      <c r="CS11" s="27">
        <v>1</v>
      </c>
      <c r="CT11" s="29">
        <f t="shared" ref="CT11:CT16" si="53">CS11*100/CP11</f>
        <v>0.57471264367816088</v>
      </c>
      <c r="CU11" s="27">
        <v>30</v>
      </c>
      <c r="CV11" s="30">
        <f t="shared" ref="CV11:CV16" si="54">CU11*100/CP11</f>
        <v>17.241379310344829</v>
      </c>
      <c r="CW11" s="25">
        <v>116</v>
      </c>
      <c r="CX11" s="27">
        <f>CW11-CZ11-DB11</f>
        <v>90</v>
      </c>
      <c r="CY11" s="28">
        <f t="shared" ref="CY11:CY16" si="55">CX11*100/CW11</f>
        <v>77.58620689655173</v>
      </c>
      <c r="CZ11" s="27">
        <v>1</v>
      </c>
      <c r="DA11" s="29">
        <f t="shared" ref="DA11:DA16" si="56">CZ11*100/CW11</f>
        <v>0.86206896551724133</v>
      </c>
      <c r="DB11" s="27">
        <v>25</v>
      </c>
      <c r="DC11" s="30">
        <f t="shared" ref="DC11:DC16" si="57">DB11*100/CW11</f>
        <v>21.551724137931036</v>
      </c>
    </row>
    <row r="12" spans="1:107" ht="51.9" customHeight="1" x14ac:dyDescent="0.25">
      <c r="A12" s="25">
        <f t="shared" si="0"/>
        <v>3</v>
      </c>
      <c r="B12" s="31" t="s">
        <v>47</v>
      </c>
      <c r="C12" s="25">
        <v>389</v>
      </c>
      <c r="D12" s="27">
        <f t="shared" si="1"/>
        <v>188</v>
      </c>
      <c r="E12" s="28">
        <f t="shared" si="2"/>
        <v>48.329048843187664</v>
      </c>
      <c r="F12" s="27">
        <v>18</v>
      </c>
      <c r="G12" s="28">
        <f t="shared" si="3"/>
        <v>4.6272493573264786</v>
      </c>
      <c r="H12" s="27">
        <v>183</v>
      </c>
      <c r="I12" s="1">
        <f t="shared" si="4"/>
        <v>47.043701799485859</v>
      </c>
      <c r="J12" s="25">
        <v>392</v>
      </c>
      <c r="K12" s="27">
        <f t="shared" si="5"/>
        <v>199</v>
      </c>
      <c r="L12" s="28">
        <f t="shared" si="6"/>
        <v>50.765306122448976</v>
      </c>
      <c r="M12" s="27">
        <v>14</v>
      </c>
      <c r="N12" s="28">
        <f t="shared" si="7"/>
        <v>3.5714285714285716</v>
      </c>
      <c r="O12" s="27">
        <v>179</v>
      </c>
      <c r="P12" s="1">
        <f t="shared" si="8"/>
        <v>45.663265306122447</v>
      </c>
      <c r="Q12" s="25">
        <v>383</v>
      </c>
      <c r="R12" s="27">
        <f t="shared" si="9"/>
        <v>194</v>
      </c>
      <c r="S12" s="28">
        <f t="shared" si="10"/>
        <v>50.652741514360315</v>
      </c>
      <c r="T12" s="27">
        <v>15</v>
      </c>
      <c r="U12" s="29">
        <f t="shared" si="11"/>
        <v>3.9164490861618799</v>
      </c>
      <c r="V12" s="27">
        <v>174</v>
      </c>
      <c r="W12" s="30">
        <f t="shared" si="12"/>
        <v>45.430809399477809</v>
      </c>
      <c r="X12" s="25" t="e">
        <f>Grunddaten!#REF!</f>
        <v>#REF!</v>
      </c>
      <c r="Y12" s="27" t="e">
        <f t="shared" si="13"/>
        <v>#REF!</v>
      </c>
      <c r="Z12" s="28" t="e">
        <f t="shared" si="14"/>
        <v>#REF!</v>
      </c>
      <c r="AA12" s="27">
        <v>8</v>
      </c>
      <c r="AB12" s="29" t="e">
        <f t="shared" si="15"/>
        <v>#REF!</v>
      </c>
      <c r="AC12" s="27">
        <v>272</v>
      </c>
      <c r="AD12" s="30" t="e">
        <f t="shared" si="16"/>
        <v>#REF!</v>
      </c>
      <c r="AE12" s="25">
        <v>449</v>
      </c>
      <c r="AF12" s="27" t="e">
        <f t="shared" si="17"/>
        <v>#REF!</v>
      </c>
      <c r="AG12" s="28" t="e">
        <f t="shared" si="18"/>
        <v>#REF!</v>
      </c>
      <c r="AH12" s="27" t="e">
        <f>Grunddaten!#REF!</f>
        <v>#REF!</v>
      </c>
      <c r="AI12" s="29" t="e">
        <f t="shared" si="19"/>
        <v>#REF!</v>
      </c>
      <c r="AJ12" s="27">
        <v>252</v>
      </c>
      <c r="AK12" s="30">
        <f t="shared" si="20"/>
        <v>56.124721603563472</v>
      </c>
      <c r="AL12" s="25">
        <v>484</v>
      </c>
      <c r="AM12" s="27" t="e">
        <f t="shared" si="21"/>
        <v>#REF!</v>
      </c>
      <c r="AN12" s="28" t="e">
        <f t="shared" si="22"/>
        <v>#REF!</v>
      </c>
      <c r="AO12" s="27" t="e">
        <f>Grunddaten!#REF!</f>
        <v>#REF!</v>
      </c>
      <c r="AP12" s="29" t="e">
        <f t="shared" si="23"/>
        <v>#REF!</v>
      </c>
      <c r="AQ12" s="27">
        <v>273</v>
      </c>
      <c r="AR12" s="30">
        <f t="shared" si="24"/>
        <v>56.404958677685947</v>
      </c>
      <c r="AS12" s="25">
        <v>407</v>
      </c>
      <c r="AT12" s="27" t="e">
        <f t="shared" si="25"/>
        <v>#REF!</v>
      </c>
      <c r="AU12" s="28" t="e">
        <f t="shared" si="26"/>
        <v>#REF!</v>
      </c>
      <c r="AV12" s="27" t="e">
        <f>Grunddaten!#REF!</f>
        <v>#REF!</v>
      </c>
      <c r="AW12" s="29" t="e">
        <f t="shared" si="27"/>
        <v>#REF!</v>
      </c>
      <c r="AX12" s="27" t="e">
        <f>Grunddaten!#REF!</f>
        <v>#REF!</v>
      </c>
      <c r="AY12" s="30" t="e">
        <f t="shared" si="28"/>
        <v>#REF!</v>
      </c>
      <c r="AZ12" s="25">
        <v>341</v>
      </c>
      <c r="BA12" s="27">
        <f t="shared" si="29"/>
        <v>164</v>
      </c>
      <c r="BB12" s="28">
        <f t="shared" si="30"/>
        <v>48.093841642228739</v>
      </c>
      <c r="BC12" s="27">
        <v>1</v>
      </c>
      <c r="BD12" s="29">
        <f t="shared" si="31"/>
        <v>0.2932551319648094</v>
      </c>
      <c r="BE12" s="27">
        <v>176</v>
      </c>
      <c r="BF12" s="30">
        <f t="shared" si="32"/>
        <v>51.612903225806448</v>
      </c>
      <c r="BG12" s="25">
        <v>329</v>
      </c>
      <c r="BH12" s="27">
        <f t="shared" si="33"/>
        <v>154</v>
      </c>
      <c r="BI12" s="28">
        <f t="shared" si="34"/>
        <v>46.808510638297875</v>
      </c>
      <c r="BJ12" s="27">
        <v>3</v>
      </c>
      <c r="BK12" s="29">
        <f t="shared" si="35"/>
        <v>0.91185410334346506</v>
      </c>
      <c r="BL12" s="27">
        <v>172</v>
      </c>
      <c r="BM12" s="30">
        <f t="shared" si="36"/>
        <v>52.27963525835866</v>
      </c>
      <c r="BN12" s="25">
        <v>284</v>
      </c>
      <c r="BO12" s="27">
        <f t="shared" si="37"/>
        <v>144</v>
      </c>
      <c r="BP12" s="28">
        <f t="shared" si="38"/>
        <v>50.70422535211268</v>
      </c>
      <c r="BQ12" s="27">
        <v>3</v>
      </c>
      <c r="BR12" s="29">
        <f t="shared" si="39"/>
        <v>1.056338028169014</v>
      </c>
      <c r="BS12" s="27">
        <v>137</v>
      </c>
      <c r="BT12" s="30">
        <f t="shared" si="40"/>
        <v>48.239436619718312</v>
      </c>
      <c r="BU12" s="25">
        <v>306</v>
      </c>
      <c r="BV12" s="27">
        <f t="shared" si="41"/>
        <v>153</v>
      </c>
      <c r="BW12" s="28">
        <f t="shared" si="42"/>
        <v>50</v>
      </c>
      <c r="BX12" s="27">
        <v>6</v>
      </c>
      <c r="BY12" s="29">
        <f t="shared" si="43"/>
        <v>1.9607843137254901</v>
      </c>
      <c r="BZ12" s="27">
        <v>147</v>
      </c>
      <c r="CA12" s="30">
        <f t="shared" si="44"/>
        <v>48.03921568627451</v>
      </c>
      <c r="CB12" s="25">
        <v>305</v>
      </c>
      <c r="CC12" s="27">
        <v>129</v>
      </c>
      <c r="CD12" s="28">
        <f t="shared" si="46"/>
        <v>42.295081967213115</v>
      </c>
      <c r="CE12" s="27">
        <v>4</v>
      </c>
      <c r="CF12" s="29">
        <f t="shared" si="47"/>
        <v>1.3114754098360655</v>
      </c>
      <c r="CG12" s="27">
        <v>150</v>
      </c>
      <c r="CH12" s="30">
        <f t="shared" si="48"/>
        <v>49.180327868852459</v>
      </c>
      <c r="CI12" s="25">
        <v>351</v>
      </c>
      <c r="CJ12" s="27">
        <v>129</v>
      </c>
      <c r="CK12" s="28">
        <f t="shared" si="49"/>
        <v>36.752136752136749</v>
      </c>
      <c r="CL12" s="27">
        <v>1</v>
      </c>
      <c r="CM12" s="29">
        <f t="shared" si="50"/>
        <v>0.28490028490028491</v>
      </c>
      <c r="CN12" s="27">
        <v>188</v>
      </c>
      <c r="CO12" s="30">
        <f t="shared" si="51"/>
        <v>53.561253561253558</v>
      </c>
      <c r="CP12" s="25">
        <v>388</v>
      </c>
      <c r="CQ12" s="27">
        <v>129</v>
      </c>
      <c r="CR12" s="28">
        <f t="shared" si="52"/>
        <v>33.24742268041237</v>
      </c>
      <c r="CS12" s="27">
        <v>0</v>
      </c>
      <c r="CT12" s="29">
        <f t="shared" si="53"/>
        <v>0</v>
      </c>
      <c r="CU12" s="27">
        <v>218</v>
      </c>
      <c r="CV12" s="30">
        <f t="shared" si="54"/>
        <v>56.185567010309278</v>
      </c>
      <c r="CW12" s="25">
        <v>385</v>
      </c>
      <c r="CX12" s="27">
        <v>129</v>
      </c>
      <c r="CY12" s="28">
        <f t="shared" si="55"/>
        <v>33.506493506493506</v>
      </c>
      <c r="CZ12" s="27">
        <v>0</v>
      </c>
      <c r="DA12" s="29">
        <f t="shared" si="56"/>
        <v>0</v>
      </c>
      <c r="DB12" s="27">
        <v>225</v>
      </c>
      <c r="DC12" s="30">
        <f t="shared" si="57"/>
        <v>58.441558441558442</v>
      </c>
    </row>
    <row r="13" spans="1:107" ht="51.9" customHeight="1" x14ac:dyDescent="0.25">
      <c r="A13" s="25">
        <f t="shared" si="0"/>
        <v>4</v>
      </c>
      <c r="B13" s="31" t="s">
        <v>60</v>
      </c>
      <c r="C13" s="25">
        <v>272</v>
      </c>
      <c r="D13" s="32">
        <f t="shared" si="1"/>
        <v>151</v>
      </c>
      <c r="E13" s="33">
        <f t="shared" si="2"/>
        <v>55.514705882352942</v>
      </c>
      <c r="F13" s="32">
        <v>65</v>
      </c>
      <c r="G13" s="33">
        <f t="shared" si="3"/>
        <v>23.897058823529413</v>
      </c>
      <c r="H13" s="32">
        <v>56</v>
      </c>
      <c r="I13" s="34">
        <f t="shared" si="4"/>
        <v>20.588235294117649</v>
      </c>
      <c r="J13" s="25">
        <v>288</v>
      </c>
      <c r="K13" s="32">
        <f t="shared" si="5"/>
        <v>149</v>
      </c>
      <c r="L13" s="33">
        <f t="shared" si="6"/>
        <v>51.736111111111114</v>
      </c>
      <c r="M13" s="32">
        <v>79</v>
      </c>
      <c r="N13" s="33">
        <f t="shared" si="7"/>
        <v>27.430555555555557</v>
      </c>
      <c r="O13" s="32">
        <v>60</v>
      </c>
      <c r="P13" s="34">
        <f t="shared" si="8"/>
        <v>20.833333333333332</v>
      </c>
      <c r="Q13" s="25">
        <v>263</v>
      </c>
      <c r="R13" s="32">
        <f t="shared" si="9"/>
        <v>133</v>
      </c>
      <c r="S13" s="33">
        <f t="shared" si="10"/>
        <v>50.570342205323193</v>
      </c>
      <c r="T13" s="32">
        <v>66</v>
      </c>
      <c r="U13" s="35">
        <f t="shared" si="11"/>
        <v>25.095057034220531</v>
      </c>
      <c r="V13" s="32">
        <v>64</v>
      </c>
      <c r="W13" s="36">
        <f t="shared" si="12"/>
        <v>24.334600760456272</v>
      </c>
      <c r="X13" s="25">
        <v>286</v>
      </c>
      <c r="Y13" s="32">
        <f t="shared" si="13"/>
        <v>159</v>
      </c>
      <c r="Z13" s="33">
        <f t="shared" si="14"/>
        <v>55.594405594405593</v>
      </c>
      <c r="AA13" s="32">
        <v>64</v>
      </c>
      <c r="AB13" s="35">
        <f t="shared" si="15"/>
        <v>22.377622377622377</v>
      </c>
      <c r="AC13" s="32">
        <v>63</v>
      </c>
      <c r="AD13" s="36">
        <f t="shared" si="16"/>
        <v>22.027972027972027</v>
      </c>
      <c r="AE13" s="25">
        <v>302</v>
      </c>
      <c r="AF13" s="32" t="e">
        <f t="shared" si="17"/>
        <v>#REF!</v>
      </c>
      <c r="AG13" s="33" t="e">
        <f t="shared" si="18"/>
        <v>#REF!</v>
      </c>
      <c r="AH13" s="32" t="e">
        <f>Grunddaten!#REF!</f>
        <v>#REF!</v>
      </c>
      <c r="AI13" s="35" t="e">
        <f t="shared" si="19"/>
        <v>#REF!</v>
      </c>
      <c r="AJ13" s="32">
        <v>54</v>
      </c>
      <c r="AK13" s="36">
        <f t="shared" si="20"/>
        <v>17.880794701986755</v>
      </c>
      <c r="AL13" s="25">
        <v>291</v>
      </c>
      <c r="AM13" s="32" t="e">
        <f t="shared" si="21"/>
        <v>#REF!</v>
      </c>
      <c r="AN13" s="33" t="e">
        <f t="shared" si="22"/>
        <v>#REF!</v>
      </c>
      <c r="AO13" s="32" t="e">
        <f>Grunddaten!#REF!</f>
        <v>#REF!</v>
      </c>
      <c r="AP13" s="35" t="e">
        <f t="shared" si="23"/>
        <v>#REF!</v>
      </c>
      <c r="AQ13" s="32">
        <v>50</v>
      </c>
      <c r="AR13" s="36">
        <f t="shared" si="24"/>
        <v>17.182130584192439</v>
      </c>
      <c r="AS13" s="25">
        <v>273</v>
      </c>
      <c r="AT13" s="32" t="e">
        <f t="shared" si="25"/>
        <v>#REF!</v>
      </c>
      <c r="AU13" s="33" t="e">
        <f t="shared" si="26"/>
        <v>#REF!</v>
      </c>
      <c r="AV13" s="32" t="e">
        <f>Grunddaten!#REF!</f>
        <v>#REF!</v>
      </c>
      <c r="AW13" s="35" t="e">
        <f t="shared" si="27"/>
        <v>#REF!</v>
      </c>
      <c r="AX13" s="32" t="e">
        <f>Grunddaten!#REF!</f>
        <v>#REF!</v>
      </c>
      <c r="AY13" s="36" t="e">
        <f t="shared" si="28"/>
        <v>#REF!</v>
      </c>
      <c r="AZ13" s="25">
        <v>267</v>
      </c>
      <c r="BA13" s="32">
        <f t="shared" si="29"/>
        <v>163</v>
      </c>
      <c r="BB13" s="33">
        <f t="shared" si="30"/>
        <v>61.048689138576776</v>
      </c>
      <c r="BC13" s="32">
        <v>52</v>
      </c>
      <c r="BD13" s="35">
        <f t="shared" si="31"/>
        <v>19.475655430711612</v>
      </c>
      <c r="BE13" s="32">
        <v>52</v>
      </c>
      <c r="BF13" s="36">
        <f t="shared" si="32"/>
        <v>19.475655430711612</v>
      </c>
      <c r="BG13" s="25">
        <v>239</v>
      </c>
      <c r="BH13" s="32">
        <f t="shared" si="33"/>
        <v>155</v>
      </c>
      <c r="BI13" s="33">
        <f t="shared" si="34"/>
        <v>64.853556485355654</v>
      </c>
      <c r="BJ13" s="32">
        <v>38</v>
      </c>
      <c r="BK13" s="35">
        <f t="shared" si="35"/>
        <v>15.899581589958158</v>
      </c>
      <c r="BL13" s="32">
        <v>46</v>
      </c>
      <c r="BM13" s="36">
        <f t="shared" si="36"/>
        <v>19.246861924686193</v>
      </c>
      <c r="BN13" s="25">
        <v>240</v>
      </c>
      <c r="BO13" s="32">
        <f t="shared" si="37"/>
        <v>152</v>
      </c>
      <c r="BP13" s="33">
        <f t="shared" si="38"/>
        <v>63.333333333333336</v>
      </c>
      <c r="BQ13" s="32">
        <v>32</v>
      </c>
      <c r="BR13" s="35">
        <f t="shared" si="39"/>
        <v>13.333333333333334</v>
      </c>
      <c r="BS13" s="32">
        <v>56</v>
      </c>
      <c r="BT13" s="36">
        <f t="shared" si="40"/>
        <v>23.333333333333332</v>
      </c>
      <c r="BU13" s="25">
        <v>244</v>
      </c>
      <c r="BV13" s="32">
        <f t="shared" si="41"/>
        <v>159</v>
      </c>
      <c r="BW13" s="33">
        <f t="shared" si="42"/>
        <v>65.163934426229503</v>
      </c>
      <c r="BX13" s="32">
        <v>35</v>
      </c>
      <c r="BY13" s="35">
        <f t="shared" si="43"/>
        <v>14.344262295081966</v>
      </c>
      <c r="BZ13" s="32">
        <v>50</v>
      </c>
      <c r="CA13" s="36">
        <f t="shared" si="44"/>
        <v>20.491803278688526</v>
      </c>
      <c r="CB13" s="25">
        <v>244</v>
      </c>
      <c r="CC13" s="32">
        <f t="shared" si="45"/>
        <v>161</v>
      </c>
      <c r="CD13" s="33">
        <f t="shared" si="46"/>
        <v>65.983606557377044</v>
      </c>
      <c r="CE13" s="32">
        <v>32</v>
      </c>
      <c r="CF13" s="35">
        <f t="shared" si="47"/>
        <v>13.114754098360656</v>
      </c>
      <c r="CG13" s="32">
        <v>51</v>
      </c>
      <c r="CH13" s="36">
        <f t="shared" si="48"/>
        <v>20.901639344262296</v>
      </c>
      <c r="CI13" s="25">
        <v>238</v>
      </c>
      <c r="CJ13" s="32">
        <f>CI13-CL13-CN13</f>
        <v>164</v>
      </c>
      <c r="CK13" s="33">
        <f t="shared" si="49"/>
        <v>68.907563025210081</v>
      </c>
      <c r="CL13" s="32">
        <v>24</v>
      </c>
      <c r="CM13" s="35">
        <f t="shared" si="50"/>
        <v>10.084033613445378</v>
      </c>
      <c r="CN13" s="32">
        <v>50</v>
      </c>
      <c r="CO13" s="36">
        <f t="shared" si="51"/>
        <v>21.008403361344538</v>
      </c>
      <c r="CP13" s="25">
        <v>227</v>
      </c>
      <c r="CQ13" s="32">
        <f>CP13-CS13-CU13</f>
        <v>161</v>
      </c>
      <c r="CR13" s="33">
        <f t="shared" si="52"/>
        <v>70.925110132158594</v>
      </c>
      <c r="CS13" s="32">
        <v>20</v>
      </c>
      <c r="CT13" s="35">
        <f t="shared" si="53"/>
        <v>8.8105726872246688</v>
      </c>
      <c r="CU13" s="32">
        <v>46</v>
      </c>
      <c r="CV13" s="36">
        <f t="shared" si="54"/>
        <v>20.264317180616739</v>
      </c>
      <c r="CW13" s="25">
        <v>215</v>
      </c>
      <c r="CX13" s="32">
        <f>CW13-CZ13-DB13</f>
        <v>152</v>
      </c>
      <c r="CY13" s="33">
        <f t="shared" si="55"/>
        <v>70.697674418604649</v>
      </c>
      <c r="CZ13" s="32">
        <v>13</v>
      </c>
      <c r="DA13" s="35">
        <f t="shared" si="56"/>
        <v>6.0465116279069768</v>
      </c>
      <c r="DB13" s="32">
        <v>50</v>
      </c>
      <c r="DC13" s="36">
        <f t="shared" si="57"/>
        <v>23.255813953488371</v>
      </c>
    </row>
    <row r="14" spans="1:107" ht="51.9" customHeight="1" x14ac:dyDescent="0.25">
      <c r="A14" s="25">
        <f t="shared" si="0"/>
        <v>5</v>
      </c>
      <c r="B14" s="31" t="s">
        <v>11</v>
      </c>
      <c r="C14" s="25">
        <v>673</v>
      </c>
      <c r="D14" s="32">
        <f t="shared" si="1"/>
        <v>578</v>
      </c>
      <c r="E14" s="33">
        <f t="shared" si="2"/>
        <v>85.884101040118864</v>
      </c>
      <c r="F14" s="32">
        <v>3</v>
      </c>
      <c r="G14" s="33">
        <f t="shared" si="3"/>
        <v>0.44576523031203569</v>
      </c>
      <c r="H14" s="32">
        <v>92</v>
      </c>
      <c r="I14" s="34">
        <f t="shared" si="4"/>
        <v>13.670133729569093</v>
      </c>
      <c r="J14" s="25">
        <v>664</v>
      </c>
      <c r="K14" s="32">
        <f t="shared" si="5"/>
        <v>563</v>
      </c>
      <c r="L14" s="33">
        <f t="shared" si="6"/>
        <v>84.789156626506028</v>
      </c>
      <c r="M14" s="32">
        <v>0</v>
      </c>
      <c r="N14" s="33">
        <f t="shared" si="7"/>
        <v>0</v>
      </c>
      <c r="O14" s="32">
        <v>101</v>
      </c>
      <c r="P14" s="34">
        <f t="shared" si="8"/>
        <v>15.210843373493976</v>
      </c>
      <c r="Q14" s="25">
        <v>638</v>
      </c>
      <c r="R14" s="32">
        <f t="shared" si="9"/>
        <v>535</v>
      </c>
      <c r="S14" s="33">
        <f t="shared" si="10"/>
        <v>83.855799373040753</v>
      </c>
      <c r="T14" s="32">
        <v>0</v>
      </c>
      <c r="U14" s="35">
        <f t="shared" si="11"/>
        <v>0</v>
      </c>
      <c r="V14" s="32">
        <v>103</v>
      </c>
      <c r="W14" s="36">
        <f t="shared" si="12"/>
        <v>16.144200626959247</v>
      </c>
      <c r="X14" s="25" t="e">
        <f>Grunddaten!#REF!</f>
        <v>#REF!</v>
      </c>
      <c r="Y14" s="32" t="e">
        <f t="shared" si="13"/>
        <v>#REF!</v>
      </c>
      <c r="Z14" s="33" t="e">
        <f t="shared" si="14"/>
        <v>#REF!</v>
      </c>
      <c r="AA14" s="32">
        <v>74</v>
      </c>
      <c r="AB14" s="35" t="e">
        <f t="shared" si="15"/>
        <v>#REF!</v>
      </c>
      <c r="AC14" s="32">
        <v>134</v>
      </c>
      <c r="AD14" s="36" t="e">
        <f t="shared" si="16"/>
        <v>#REF!</v>
      </c>
      <c r="AE14" s="25">
        <v>636</v>
      </c>
      <c r="AF14" s="32" t="e">
        <f t="shared" si="17"/>
        <v>#REF!</v>
      </c>
      <c r="AG14" s="33" t="e">
        <f t="shared" si="18"/>
        <v>#REF!</v>
      </c>
      <c r="AH14" s="32" t="e">
        <f>Grunddaten!#REF!</f>
        <v>#REF!</v>
      </c>
      <c r="AI14" s="35" t="e">
        <f t="shared" si="19"/>
        <v>#REF!</v>
      </c>
      <c r="AJ14" s="32">
        <v>129</v>
      </c>
      <c r="AK14" s="36">
        <f t="shared" si="20"/>
        <v>20.283018867924529</v>
      </c>
      <c r="AL14" s="25">
        <v>630</v>
      </c>
      <c r="AM14" s="32" t="e">
        <f t="shared" si="21"/>
        <v>#REF!</v>
      </c>
      <c r="AN14" s="33" t="e">
        <f t="shared" si="22"/>
        <v>#REF!</v>
      </c>
      <c r="AO14" s="32" t="e">
        <f>Grunddaten!#REF!</f>
        <v>#REF!</v>
      </c>
      <c r="AP14" s="35" t="e">
        <f t="shared" si="23"/>
        <v>#REF!</v>
      </c>
      <c r="AQ14" s="32">
        <v>118</v>
      </c>
      <c r="AR14" s="36">
        <f t="shared" si="24"/>
        <v>18.730158730158731</v>
      </c>
      <c r="AS14" s="25">
        <v>568</v>
      </c>
      <c r="AT14" s="32" t="e">
        <f t="shared" si="25"/>
        <v>#REF!</v>
      </c>
      <c r="AU14" s="33" t="e">
        <f t="shared" si="26"/>
        <v>#REF!</v>
      </c>
      <c r="AV14" s="32" t="e">
        <f>Grunddaten!#REF!</f>
        <v>#REF!</v>
      </c>
      <c r="AW14" s="35" t="e">
        <f t="shared" si="27"/>
        <v>#REF!</v>
      </c>
      <c r="AX14" s="32" t="e">
        <f>Grunddaten!#REF!</f>
        <v>#REF!</v>
      </c>
      <c r="AY14" s="36" t="e">
        <f t="shared" si="28"/>
        <v>#REF!</v>
      </c>
      <c r="AZ14" s="25">
        <v>527</v>
      </c>
      <c r="BA14" s="32">
        <f t="shared" si="29"/>
        <v>393</v>
      </c>
      <c r="BB14" s="33">
        <f t="shared" si="30"/>
        <v>74.573055028463003</v>
      </c>
      <c r="BC14" s="32">
        <v>48</v>
      </c>
      <c r="BD14" s="35">
        <f t="shared" si="31"/>
        <v>9.1081593927893731</v>
      </c>
      <c r="BE14" s="32">
        <v>86</v>
      </c>
      <c r="BF14" s="36">
        <f t="shared" si="32"/>
        <v>16.318785578747629</v>
      </c>
      <c r="BG14" s="25">
        <v>474</v>
      </c>
      <c r="BH14" s="32">
        <f t="shared" si="33"/>
        <v>360</v>
      </c>
      <c r="BI14" s="33">
        <f t="shared" si="34"/>
        <v>75.949367088607602</v>
      </c>
      <c r="BJ14" s="32">
        <v>39</v>
      </c>
      <c r="BK14" s="35">
        <f t="shared" si="35"/>
        <v>8.2278481012658222</v>
      </c>
      <c r="BL14" s="32">
        <v>75</v>
      </c>
      <c r="BM14" s="36">
        <f t="shared" si="36"/>
        <v>15.822784810126583</v>
      </c>
      <c r="BN14" s="25">
        <v>453</v>
      </c>
      <c r="BO14" s="32">
        <f t="shared" si="37"/>
        <v>346</v>
      </c>
      <c r="BP14" s="33">
        <f t="shared" si="38"/>
        <v>76.379690949227367</v>
      </c>
      <c r="BQ14" s="32">
        <v>32</v>
      </c>
      <c r="BR14" s="35">
        <f t="shared" si="39"/>
        <v>7.0640176600441498</v>
      </c>
      <c r="BS14" s="32">
        <v>75</v>
      </c>
      <c r="BT14" s="36">
        <f t="shared" si="40"/>
        <v>16.556291390728475</v>
      </c>
      <c r="BU14" s="25">
        <v>421</v>
      </c>
      <c r="BV14" s="32">
        <f t="shared" si="41"/>
        <v>328</v>
      </c>
      <c r="BW14" s="33">
        <f t="shared" si="42"/>
        <v>77.909738717339664</v>
      </c>
      <c r="BX14" s="32">
        <v>26</v>
      </c>
      <c r="BY14" s="35">
        <f t="shared" si="43"/>
        <v>6.1757719714964372</v>
      </c>
      <c r="BZ14" s="32">
        <v>67</v>
      </c>
      <c r="CA14" s="36">
        <f t="shared" si="44"/>
        <v>15.914489311163896</v>
      </c>
      <c r="CB14" s="25">
        <v>374</v>
      </c>
      <c r="CC14" s="32">
        <f t="shared" si="45"/>
        <v>296</v>
      </c>
      <c r="CD14" s="33">
        <f t="shared" si="46"/>
        <v>79.144385026737964</v>
      </c>
      <c r="CE14" s="32">
        <v>14</v>
      </c>
      <c r="CF14" s="35">
        <f t="shared" si="47"/>
        <v>3.7433155080213902</v>
      </c>
      <c r="CG14" s="32">
        <v>64</v>
      </c>
      <c r="CH14" s="36">
        <f t="shared" si="48"/>
        <v>17.112299465240643</v>
      </c>
      <c r="CI14" s="25">
        <v>349</v>
      </c>
      <c r="CJ14" s="32">
        <f>CI14-CL14-CN14</f>
        <v>293</v>
      </c>
      <c r="CK14" s="33">
        <f t="shared" si="49"/>
        <v>83.954154727793693</v>
      </c>
      <c r="CL14" s="32">
        <v>3</v>
      </c>
      <c r="CM14" s="35">
        <f t="shared" si="50"/>
        <v>0.85959885386819479</v>
      </c>
      <c r="CN14" s="32">
        <v>53</v>
      </c>
      <c r="CO14" s="36">
        <f t="shared" si="51"/>
        <v>15.18624641833811</v>
      </c>
      <c r="CP14" s="25">
        <v>324</v>
      </c>
      <c r="CQ14" s="32">
        <f>CP14-CS14-CU14</f>
        <v>278</v>
      </c>
      <c r="CR14" s="33">
        <f t="shared" si="52"/>
        <v>85.802469135802468</v>
      </c>
      <c r="CS14" s="32">
        <v>2</v>
      </c>
      <c r="CT14" s="35">
        <f t="shared" si="53"/>
        <v>0.61728395061728392</v>
      </c>
      <c r="CU14" s="32">
        <v>44</v>
      </c>
      <c r="CV14" s="36">
        <f t="shared" si="54"/>
        <v>13.580246913580247</v>
      </c>
      <c r="CW14" s="25">
        <v>309</v>
      </c>
      <c r="CX14" s="32">
        <f>CW14-CZ14-DB14</f>
        <v>261</v>
      </c>
      <c r="CY14" s="33">
        <f t="shared" si="55"/>
        <v>84.466019417475735</v>
      </c>
      <c r="CZ14" s="32">
        <v>2</v>
      </c>
      <c r="DA14" s="35">
        <f t="shared" si="56"/>
        <v>0.6472491909385113</v>
      </c>
      <c r="DB14" s="32">
        <v>46</v>
      </c>
      <c r="DC14" s="36">
        <f t="shared" si="57"/>
        <v>14.88673139158576</v>
      </c>
    </row>
    <row r="15" spans="1:107" ht="51.9" customHeight="1" x14ac:dyDescent="0.25">
      <c r="A15" s="25">
        <f t="shared" si="0"/>
        <v>6</v>
      </c>
      <c r="B15" s="31" t="s">
        <v>12</v>
      </c>
      <c r="C15" s="25">
        <v>278</v>
      </c>
      <c r="D15" s="32">
        <f t="shared" si="1"/>
        <v>220</v>
      </c>
      <c r="E15" s="33">
        <f t="shared" si="2"/>
        <v>79.136690647482013</v>
      </c>
      <c r="F15" s="32">
        <v>20</v>
      </c>
      <c r="G15" s="33">
        <f t="shared" si="3"/>
        <v>7.1942446043165464</v>
      </c>
      <c r="H15" s="32">
        <v>38</v>
      </c>
      <c r="I15" s="34">
        <f t="shared" si="4"/>
        <v>13.669064748201439</v>
      </c>
      <c r="J15" s="25">
        <v>282</v>
      </c>
      <c r="K15" s="32">
        <f t="shared" si="5"/>
        <v>221</v>
      </c>
      <c r="L15" s="33">
        <f t="shared" si="6"/>
        <v>78.36879432624113</v>
      </c>
      <c r="M15" s="32">
        <v>24</v>
      </c>
      <c r="N15" s="33">
        <f t="shared" si="7"/>
        <v>8.5106382978723403</v>
      </c>
      <c r="O15" s="32">
        <v>37</v>
      </c>
      <c r="P15" s="34">
        <f t="shared" si="8"/>
        <v>13.120567375886525</v>
      </c>
      <c r="Q15" s="25">
        <v>312</v>
      </c>
      <c r="R15" s="32">
        <f t="shared" si="9"/>
        <v>236</v>
      </c>
      <c r="S15" s="33">
        <f t="shared" si="10"/>
        <v>75.641025641025635</v>
      </c>
      <c r="T15" s="32">
        <v>40</v>
      </c>
      <c r="U15" s="35">
        <f t="shared" si="11"/>
        <v>12.820512820512821</v>
      </c>
      <c r="V15" s="32">
        <v>36</v>
      </c>
      <c r="W15" s="36">
        <f t="shared" si="12"/>
        <v>11.538461538461538</v>
      </c>
      <c r="X15" s="25">
        <v>403</v>
      </c>
      <c r="Y15" s="32">
        <f t="shared" si="13"/>
        <v>311</v>
      </c>
      <c r="Z15" s="33">
        <f t="shared" si="14"/>
        <v>77.1712158808933</v>
      </c>
      <c r="AA15" s="32">
        <v>33</v>
      </c>
      <c r="AB15" s="35">
        <f t="shared" si="15"/>
        <v>8.1885856079404462</v>
      </c>
      <c r="AC15" s="32">
        <v>59</v>
      </c>
      <c r="AD15" s="36">
        <f t="shared" si="16"/>
        <v>14.640198511166252</v>
      </c>
      <c r="AE15" s="25">
        <v>416</v>
      </c>
      <c r="AF15" s="32" t="e">
        <f t="shared" si="17"/>
        <v>#REF!</v>
      </c>
      <c r="AG15" s="33" t="e">
        <f t="shared" si="18"/>
        <v>#REF!</v>
      </c>
      <c r="AH15" s="32" t="e">
        <f>Grunddaten!#REF!</f>
        <v>#REF!</v>
      </c>
      <c r="AI15" s="35" t="e">
        <f t="shared" si="19"/>
        <v>#REF!</v>
      </c>
      <c r="AJ15" s="32">
        <v>67</v>
      </c>
      <c r="AK15" s="36">
        <f t="shared" si="20"/>
        <v>16.10576923076923</v>
      </c>
      <c r="AL15" s="25">
        <v>402</v>
      </c>
      <c r="AM15" s="32" t="e">
        <f t="shared" si="21"/>
        <v>#REF!</v>
      </c>
      <c r="AN15" s="33" t="e">
        <f t="shared" si="22"/>
        <v>#REF!</v>
      </c>
      <c r="AO15" s="32" t="e">
        <f>Grunddaten!#REF!</f>
        <v>#REF!</v>
      </c>
      <c r="AP15" s="35" t="e">
        <f t="shared" si="23"/>
        <v>#REF!</v>
      </c>
      <c r="AQ15" s="32">
        <v>70</v>
      </c>
      <c r="AR15" s="36">
        <f t="shared" si="24"/>
        <v>17.412935323383085</v>
      </c>
      <c r="AS15" s="25">
        <v>382</v>
      </c>
      <c r="AT15" s="32" t="e">
        <f t="shared" si="25"/>
        <v>#REF!</v>
      </c>
      <c r="AU15" s="33" t="e">
        <f t="shared" si="26"/>
        <v>#REF!</v>
      </c>
      <c r="AV15" s="32" t="e">
        <f>Grunddaten!#REF!</f>
        <v>#REF!</v>
      </c>
      <c r="AW15" s="35" t="e">
        <f t="shared" si="27"/>
        <v>#REF!</v>
      </c>
      <c r="AX15" s="32" t="e">
        <f>Grunddaten!#REF!</f>
        <v>#REF!</v>
      </c>
      <c r="AY15" s="36" t="e">
        <f t="shared" si="28"/>
        <v>#REF!</v>
      </c>
      <c r="AZ15" s="25">
        <v>365</v>
      </c>
      <c r="BA15" s="32">
        <f t="shared" si="29"/>
        <v>262</v>
      </c>
      <c r="BB15" s="33">
        <f t="shared" si="30"/>
        <v>71.780821917808225</v>
      </c>
      <c r="BC15" s="32">
        <v>28</v>
      </c>
      <c r="BD15" s="35">
        <f t="shared" si="31"/>
        <v>7.6712328767123283</v>
      </c>
      <c r="BE15" s="32">
        <v>75</v>
      </c>
      <c r="BF15" s="36">
        <f t="shared" si="32"/>
        <v>20.547945205479451</v>
      </c>
      <c r="BG15" s="25">
        <v>334</v>
      </c>
      <c r="BH15" s="32">
        <f t="shared" si="33"/>
        <v>246</v>
      </c>
      <c r="BI15" s="33">
        <f t="shared" si="34"/>
        <v>73.65269461077844</v>
      </c>
      <c r="BJ15" s="32">
        <v>30</v>
      </c>
      <c r="BK15" s="35">
        <f t="shared" si="35"/>
        <v>8.9820359281437128</v>
      </c>
      <c r="BL15" s="32">
        <v>58</v>
      </c>
      <c r="BM15" s="36">
        <f t="shared" si="36"/>
        <v>17.365269461077844</v>
      </c>
      <c r="BN15" s="25">
        <v>302</v>
      </c>
      <c r="BO15" s="32">
        <f t="shared" si="37"/>
        <v>234</v>
      </c>
      <c r="BP15" s="33">
        <f t="shared" si="38"/>
        <v>77.483443708609272</v>
      </c>
      <c r="BQ15" s="32">
        <v>24</v>
      </c>
      <c r="BR15" s="35">
        <f t="shared" si="39"/>
        <v>7.9470198675496686</v>
      </c>
      <c r="BS15" s="32">
        <v>44</v>
      </c>
      <c r="BT15" s="36">
        <f t="shared" si="40"/>
        <v>14.569536423841059</v>
      </c>
      <c r="BU15" s="25">
        <v>264</v>
      </c>
      <c r="BV15" s="32">
        <f t="shared" si="41"/>
        <v>207</v>
      </c>
      <c r="BW15" s="33">
        <f t="shared" si="42"/>
        <v>78.409090909090907</v>
      </c>
      <c r="BX15" s="32">
        <v>18</v>
      </c>
      <c r="BY15" s="35">
        <f t="shared" si="43"/>
        <v>6.8181818181818183</v>
      </c>
      <c r="BZ15" s="32">
        <v>39</v>
      </c>
      <c r="CA15" s="36">
        <f t="shared" si="44"/>
        <v>14.772727272727273</v>
      </c>
      <c r="CB15" s="25">
        <v>246</v>
      </c>
      <c r="CC15" s="32">
        <f t="shared" si="45"/>
        <v>202</v>
      </c>
      <c r="CD15" s="33">
        <f t="shared" si="46"/>
        <v>82.113821138211378</v>
      </c>
      <c r="CE15" s="32">
        <v>11</v>
      </c>
      <c r="CF15" s="35">
        <f t="shared" si="47"/>
        <v>4.4715447154471546</v>
      </c>
      <c r="CG15" s="32">
        <v>33</v>
      </c>
      <c r="CH15" s="36">
        <f t="shared" si="48"/>
        <v>13.414634146341463</v>
      </c>
      <c r="CI15" s="25">
        <v>251</v>
      </c>
      <c r="CJ15" s="32">
        <f>CI15-CL15-CN15</f>
        <v>205</v>
      </c>
      <c r="CK15" s="33">
        <f t="shared" si="49"/>
        <v>81.673306772908361</v>
      </c>
      <c r="CL15" s="32">
        <v>10</v>
      </c>
      <c r="CM15" s="35">
        <f t="shared" si="50"/>
        <v>3.9840637450199203</v>
      </c>
      <c r="CN15" s="32">
        <v>36</v>
      </c>
      <c r="CO15" s="36">
        <f t="shared" si="51"/>
        <v>14.342629482071713</v>
      </c>
      <c r="CP15" s="25">
        <v>248</v>
      </c>
      <c r="CQ15" s="32">
        <f>CP15-CS15-CU15</f>
        <v>212</v>
      </c>
      <c r="CR15" s="33">
        <f t="shared" si="52"/>
        <v>85.483870967741936</v>
      </c>
      <c r="CS15" s="32">
        <v>6</v>
      </c>
      <c r="CT15" s="35">
        <f t="shared" si="53"/>
        <v>2.4193548387096775</v>
      </c>
      <c r="CU15" s="32">
        <v>30</v>
      </c>
      <c r="CV15" s="36">
        <f t="shared" si="54"/>
        <v>12.096774193548388</v>
      </c>
      <c r="CW15" s="25">
        <v>253</v>
      </c>
      <c r="CX15" s="32">
        <f>CW15-CZ15-DB15</f>
        <v>213</v>
      </c>
      <c r="CY15" s="33">
        <f t="shared" si="55"/>
        <v>84.189723320158109</v>
      </c>
      <c r="CZ15" s="32">
        <v>7</v>
      </c>
      <c r="DA15" s="35">
        <f t="shared" si="56"/>
        <v>2.766798418972332</v>
      </c>
      <c r="DB15" s="32">
        <v>33</v>
      </c>
      <c r="DC15" s="36">
        <f t="shared" si="57"/>
        <v>13.043478260869565</v>
      </c>
    </row>
    <row r="16" spans="1:107" ht="51.9" customHeight="1" x14ac:dyDescent="0.25">
      <c r="A16" s="25">
        <f t="shared" si="0"/>
        <v>7</v>
      </c>
      <c r="B16" s="31" t="s">
        <v>63</v>
      </c>
      <c r="C16" s="25">
        <v>282</v>
      </c>
      <c r="D16" s="32">
        <f t="shared" si="1"/>
        <v>184</v>
      </c>
      <c r="E16" s="33">
        <f t="shared" si="2"/>
        <v>65.248226950354606</v>
      </c>
      <c r="F16" s="32">
        <v>67</v>
      </c>
      <c r="G16" s="33">
        <f t="shared" si="3"/>
        <v>23.75886524822695</v>
      </c>
      <c r="H16" s="32">
        <v>31</v>
      </c>
      <c r="I16" s="34">
        <f t="shared" si="4"/>
        <v>10.99290780141844</v>
      </c>
      <c r="J16" s="25">
        <v>308</v>
      </c>
      <c r="K16" s="32">
        <f t="shared" si="5"/>
        <v>185</v>
      </c>
      <c r="L16" s="33">
        <f t="shared" si="6"/>
        <v>60.064935064935064</v>
      </c>
      <c r="M16" s="32">
        <v>81</v>
      </c>
      <c r="N16" s="33">
        <f t="shared" si="7"/>
        <v>26.2987012987013</v>
      </c>
      <c r="O16" s="32">
        <v>42</v>
      </c>
      <c r="P16" s="34">
        <f t="shared" si="8"/>
        <v>13.636363636363637</v>
      </c>
      <c r="Q16" s="25">
        <v>298</v>
      </c>
      <c r="R16" s="32">
        <f t="shared" si="9"/>
        <v>169</v>
      </c>
      <c r="S16" s="33">
        <f t="shared" si="10"/>
        <v>56.711409395973156</v>
      </c>
      <c r="T16" s="32">
        <v>87</v>
      </c>
      <c r="U16" s="35">
        <f t="shared" si="11"/>
        <v>29.19463087248322</v>
      </c>
      <c r="V16" s="32">
        <v>42</v>
      </c>
      <c r="W16" s="36">
        <f t="shared" si="12"/>
        <v>14.093959731543624</v>
      </c>
      <c r="X16" s="25">
        <v>303</v>
      </c>
      <c r="Y16" s="32">
        <f t="shared" si="13"/>
        <v>174</v>
      </c>
      <c r="Z16" s="33">
        <f t="shared" si="14"/>
        <v>57.425742574257427</v>
      </c>
      <c r="AA16" s="32">
        <v>62</v>
      </c>
      <c r="AB16" s="35">
        <f t="shared" si="15"/>
        <v>20.462046204620464</v>
      </c>
      <c r="AC16" s="32">
        <v>67</v>
      </c>
      <c r="AD16" s="36">
        <f t="shared" si="16"/>
        <v>22.112211221122113</v>
      </c>
      <c r="AE16" s="25">
        <v>306</v>
      </c>
      <c r="AF16" s="32" t="e">
        <f t="shared" si="17"/>
        <v>#REF!</v>
      </c>
      <c r="AG16" s="33" t="e">
        <f t="shared" si="18"/>
        <v>#REF!</v>
      </c>
      <c r="AH16" s="32" t="e">
        <f>Grunddaten!#REF!</f>
        <v>#REF!</v>
      </c>
      <c r="AI16" s="35" t="e">
        <f t="shared" si="19"/>
        <v>#REF!</v>
      </c>
      <c r="AJ16" s="32">
        <v>71</v>
      </c>
      <c r="AK16" s="36">
        <f t="shared" si="20"/>
        <v>23.202614379084967</v>
      </c>
      <c r="AL16" s="25">
        <v>324</v>
      </c>
      <c r="AM16" s="32" t="e">
        <f t="shared" si="21"/>
        <v>#REF!</v>
      </c>
      <c r="AN16" s="33" t="e">
        <f t="shared" si="22"/>
        <v>#REF!</v>
      </c>
      <c r="AO16" s="32" t="e">
        <f>Grunddaten!#REF!</f>
        <v>#REF!</v>
      </c>
      <c r="AP16" s="35" t="e">
        <f t="shared" si="23"/>
        <v>#REF!</v>
      </c>
      <c r="AQ16" s="32">
        <v>78</v>
      </c>
      <c r="AR16" s="36">
        <f t="shared" si="24"/>
        <v>24.074074074074073</v>
      </c>
      <c r="AS16" s="25">
        <v>330</v>
      </c>
      <c r="AT16" s="32" t="e">
        <f t="shared" si="25"/>
        <v>#REF!</v>
      </c>
      <c r="AU16" s="33" t="e">
        <f t="shared" si="26"/>
        <v>#REF!</v>
      </c>
      <c r="AV16" s="32" t="e">
        <f>Grunddaten!#REF!</f>
        <v>#REF!</v>
      </c>
      <c r="AW16" s="35" t="e">
        <f t="shared" si="27"/>
        <v>#REF!</v>
      </c>
      <c r="AX16" s="32" t="e">
        <f>Grunddaten!#REF!</f>
        <v>#REF!</v>
      </c>
      <c r="AY16" s="36" t="e">
        <f t="shared" si="28"/>
        <v>#REF!</v>
      </c>
      <c r="AZ16" s="25">
        <v>322</v>
      </c>
      <c r="BA16" s="32">
        <f t="shared" si="29"/>
        <v>204</v>
      </c>
      <c r="BB16" s="33">
        <f t="shared" si="30"/>
        <v>63.354037267080749</v>
      </c>
      <c r="BC16" s="32">
        <v>58</v>
      </c>
      <c r="BD16" s="35">
        <f t="shared" si="31"/>
        <v>18.012422360248447</v>
      </c>
      <c r="BE16" s="32">
        <v>60</v>
      </c>
      <c r="BF16" s="36">
        <f t="shared" si="32"/>
        <v>18.633540372670808</v>
      </c>
      <c r="BG16" s="25">
        <v>321</v>
      </c>
      <c r="BH16" s="32">
        <f t="shared" si="33"/>
        <v>213</v>
      </c>
      <c r="BI16" s="33">
        <f t="shared" si="34"/>
        <v>66.355140186915889</v>
      </c>
      <c r="BJ16" s="32">
        <v>59</v>
      </c>
      <c r="BK16" s="35">
        <f t="shared" si="35"/>
        <v>18.380062305295951</v>
      </c>
      <c r="BL16" s="32">
        <v>49</v>
      </c>
      <c r="BM16" s="36">
        <f t="shared" si="36"/>
        <v>15.264797507788161</v>
      </c>
      <c r="BN16" s="25">
        <v>317</v>
      </c>
      <c r="BO16" s="32">
        <f t="shared" si="37"/>
        <v>204</v>
      </c>
      <c r="BP16" s="33">
        <f t="shared" si="38"/>
        <v>64.353312302839115</v>
      </c>
      <c r="BQ16" s="32">
        <v>50</v>
      </c>
      <c r="BR16" s="35">
        <f t="shared" si="39"/>
        <v>15.772870662460567</v>
      </c>
      <c r="BS16" s="32">
        <v>63</v>
      </c>
      <c r="BT16" s="36">
        <f t="shared" si="40"/>
        <v>19.873817034700316</v>
      </c>
      <c r="BU16" s="25">
        <v>290</v>
      </c>
      <c r="BV16" s="32">
        <f t="shared" si="41"/>
        <v>179</v>
      </c>
      <c r="BW16" s="33">
        <f t="shared" si="42"/>
        <v>61.724137931034484</v>
      </c>
      <c r="BX16" s="32">
        <v>53</v>
      </c>
      <c r="BY16" s="35">
        <f t="shared" si="43"/>
        <v>18.275862068965516</v>
      </c>
      <c r="BZ16" s="32">
        <v>58</v>
      </c>
      <c r="CA16" s="36">
        <f t="shared" si="44"/>
        <v>20</v>
      </c>
      <c r="CB16" s="25">
        <v>271</v>
      </c>
      <c r="CC16" s="32">
        <f t="shared" si="45"/>
        <v>175</v>
      </c>
      <c r="CD16" s="33">
        <f t="shared" si="46"/>
        <v>64.575645756457561</v>
      </c>
      <c r="CE16" s="32">
        <v>41</v>
      </c>
      <c r="CF16" s="35">
        <f t="shared" si="47"/>
        <v>15.129151291512915</v>
      </c>
      <c r="CG16" s="32">
        <v>55</v>
      </c>
      <c r="CH16" s="36">
        <f t="shared" si="48"/>
        <v>20.29520295202952</v>
      </c>
      <c r="CI16" s="25">
        <v>274</v>
      </c>
      <c r="CJ16" s="32">
        <f>CI16-CL16-CN16</f>
        <v>193</v>
      </c>
      <c r="CK16" s="33">
        <f t="shared" si="49"/>
        <v>70.43795620437956</v>
      </c>
      <c r="CL16" s="32">
        <v>32</v>
      </c>
      <c r="CM16" s="35">
        <f t="shared" si="50"/>
        <v>11.678832116788321</v>
      </c>
      <c r="CN16" s="32">
        <v>49</v>
      </c>
      <c r="CO16" s="36">
        <f t="shared" si="51"/>
        <v>17.883211678832115</v>
      </c>
      <c r="CP16" s="25">
        <v>246</v>
      </c>
      <c r="CQ16" s="32">
        <f>CP16-CS16-CU16</f>
        <v>184</v>
      </c>
      <c r="CR16" s="33">
        <f t="shared" si="52"/>
        <v>74.796747967479675</v>
      </c>
      <c r="CS16" s="32">
        <v>28</v>
      </c>
      <c r="CT16" s="35">
        <f t="shared" si="53"/>
        <v>11.382113821138212</v>
      </c>
      <c r="CU16" s="32">
        <v>34</v>
      </c>
      <c r="CV16" s="36">
        <f t="shared" si="54"/>
        <v>13.821138211382113</v>
      </c>
      <c r="CW16" s="25">
        <v>248</v>
      </c>
      <c r="CX16" s="32">
        <f>CW16-CZ16-DB16</f>
        <v>198</v>
      </c>
      <c r="CY16" s="33">
        <f t="shared" si="55"/>
        <v>79.838709677419359</v>
      </c>
      <c r="CZ16" s="32">
        <v>22</v>
      </c>
      <c r="DA16" s="35">
        <f t="shared" si="56"/>
        <v>8.870967741935484</v>
      </c>
      <c r="DB16" s="32">
        <v>28</v>
      </c>
      <c r="DC16" s="36">
        <f t="shared" si="57"/>
        <v>11.290322580645162</v>
      </c>
    </row>
    <row r="17" spans="1:107" ht="51.9" customHeight="1" thickBot="1" x14ac:dyDescent="0.3">
      <c r="A17" s="37">
        <f t="shared" si="0"/>
        <v>8</v>
      </c>
      <c r="B17" s="45" t="s">
        <v>48</v>
      </c>
      <c r="C17" s="37">
        <v>257</v>
      </c>
      <c r="D17" s="38">
        <f t="shared" si="1"/>
        <v>212</v>
      </c>
      <c r="E17" s="39">
        <f t="shared" si="2"/>
        <v>82.490272373540861</v>
      </c>
      <c r="F17" s="38">
        <v>9</v>
      </c>
      <c r="G17" s="39">
        <f t="shared" si="3"/>
        <v>3.5019455252918288</v>
      </c>
      <c r="H17" s="38">
        <v>36</v>
      </c>
      <c r="I17" s="40">
        <f t="shared" si="4"/>
        <v>14.007782101167315</v>
      </c>
      <c r="J17" s="37">
        <v>262</v>
      </c>
      <c r="K17" s="38">
        <f t="shared" si="5"/>
        <v>207</v>
      </c>
      <c r="L17" s="39">
        <f t="shared" si="6"/>
        <v>79.007633587786259</v>
      </c>
      <c r="M17" s="38">
        <v>21</v>
      </c>
      <c r="N17" s="39">
        <f t="shared" si="7"/>
        <v>8.0152671755725198</v>
      </c>
      <c r="O17" s="38">
        <v>34</v>
      </c>
      <c r="P17" s="40">
        <f t="shared" si="8"/>
        <v>12.977099236641221</v>
      </c>
      <c r="Q17" s="37">
        <v>267</v>
      </c>
      <c r="R17" s="38">
        <f t="shared" si="9"/>
        <v>207</v>
      </c>
      <c r="S17" s="39">
        <f t="shared" si="10"/>
        <v>77.528089887640448</v>
      </c>
      <c r="T17" s="38">
        <v>19</v>
      </c>
      <c r="U17" s="41">
        <f t="shared" si="11"/>
        <v>7.1161048689138573</v>
      </c>
      <c r="V17" s="38">
        <v>41</v>
      </c>
      <c r="W17" s="42">
        <f t="shared" si="12"/>
        <v>15.355805243445692</v>
      </c>
      <c r="X17" s="37" t="e">
        <f>Grunddaten!#REF!</f>
        <v>#REF!</v>
      </c>
      <c r="Y17" s="38" t="e">
        <f t="shared" si="13"/>
        <v>#REF!</v>
      </c>
      <c r="Z17" s="39" t="e">
        <f t="shared" si="14"/>
        <v>#REF!</v>
      </c>
      <c r="AA17" s="38">
        <v>21</v>
      </c>
      <c r="AB17" s="41" t="e">
        <f t="shared" si="15"/>
        <v>#REF!</v>
      </c>
      <c r="AC17" s="38">
        <v>59</v>
      </c>
      <c r="AD17" s="42" t="e">
        <f t="shared" si="16"/>
        <v>#REF!</v>
      </c>
      <c r="AE17" s="37">
        <v>298</v>
      </c>
      <c r="AF17" s="38" t="e">
        <f t="shared" si="17"/>
        <v>#REF!</v>
      </c>
      <c r="AG17" s="39" t="e">
        <f t="shared" si="18"/>
        <v>#REF!</v>
      </c>
      <c r="AH17" s="38" t="e">
        <f>Grunddaten!#REF!</f>
        <v>#REF!</v>
      </c>
      <c r="AI17" s="41" t="e">
        <f t="shared" si="19"/>
        <v>#REF!</v>
      </c>
      <c r="AJ17" s="38">
        <v>63</v>
      </c>
      <c r="AK17" s="42">
        <f t="shared" si="20"/>
        <v>21.140939597315437</v>
      </c>
      <c r="AL17" s="37">
        <v>302</v>
      </c>
      <c r="AM17" s="38" t="e">
        <f t="shared" si="21"/>
        <v>#REF!</v>
      </c>
      <c r="AN17" s="39" t="e">
        <f t="shared" si="22"/>
        <v>#REF!</v>
      </c>
      <c r="AO17" s="38" t="e">
        <f>Grunddaten!#REF!</f>
        <v>#REF!</v>
      </c>
      <c r="AP17" s="41" t="e">
        <f t="shared" si="23"/>
        <v>#REF!</v>
      </c>
      <c r="AQ17" s="38">
        <v>66</v>
      </c>
      <c r="AR17" s="42">
        <f t="shared" si="24"/>
        <v>21.85430463576159</v>
      </c>
      <c r="AS17" s="37">
        <v>286</v>
      </c>
      <c r="AT17" s="38" t="e">
        <f t="shared" si="25"/>
        <v>#REF!</v>
      </c>
      <c r="AU17" s="39" t="e">
        <f t="shared" si="26"/>
        <v>#REF!</v>
      </c>
      <c r="AV17" s="38" t="e">
        <f>Grunddaten!#REF!</f>
        <v>#REF!</v>
      </c>
      <c r="AW17" s="41" t="e">
        <f t="shared" si="27"/>
        <v>#REF!</v>
      </c>
      <c r="AX17" s="38" t="e">
        <f>Grunddaten!#REF!</f>
        <v>#REF!</v>
      </c>
      <c r="AY17" s="42" t="e">
        <f t="shared" si="28"/>
        <v>#REF!</v>
      </c>
      <c r="AZ17" s="37">
        <v>257</v>
      </c>
      <c r="BA17" s="38">
        <f t="shared" si="29"/>
        <v>197</v>
      </c>
      <c r="BB17" s="39">
        <f t="shared" si="30"/>
        <v>76.653696498054472</v>
      </c>
      <c r="BC17" s="38">
        <v>17</v>
      </c>
      <c r="BD17" s="41">
        <f t="shared" si="31"/>
        <v>6.6147859922178984</v>
      </c>
      <c r="BE17" s="38">
        <v>43</v>
      </c>
      <c r="BF17" s="42">
        <f t="shared" si="32"/>
        <v>16.731517509727627</v>
      </c>
      <c r="BG17" s="37">
        <v>237</v>
      </c>
      <c r="BH17" s="38">
        <f t="shared" si="33"/>
        <v>190</v>
      </c>
      <c r="BI17" s="39">
        <f t="shared" si="34"/>
        <v>80.168776371308013</v>
      </c>
      <c r="BJ17" s="38">
        <v>14</v>
      </c>
      <c r="BK17" s="41">
        <f t="shared" si="35"/>
        <v>5.9071729957805905</v>
      </c>
      <c r="BL17" s="38">
        <v>33</v>
      </c>
      <c r="BM17" s="42">
        <f t="shared" si="36"/>
        <v>13.924050632911392</v>
      </c>
      <c r="BN17" s="37">
        <v>207</v>
      </c>
      <c r="BO17" s="38">
        <f t="shared" si="37"/>
        <v>159</v>
      </c>
      <c r="BP17" s="39">
        <f t="shared" si="38"/>
        <v>76.811594202898547</v>
      </c>
      <c r="BQ17" s="38">
        <v>11</v>
      </c>
      <c r="BR17" s="41">
        <f t="shared" si="39"/>
        <v>5.3140096618357484</v>
      </c>
      <c r="BS17" s="38">
        <v>37</v>
      </c>
      <c r="BT17" s="42">
        <f t="shared" si="40"/>
        <v>17.874396135265702</v>
      </c>
      <c r="BU17" s="37">
        <v>180</v>
      </c>
      <c r="BV17" s="38">
        <f t="shared" si="41"/>
        <v>149</v>
      </c>
      <c r="BW17" s="39">
        <f t="shared" si="42"/>
        <v>82.777777777777771</v>
      </c>
      <c r="BX17" s="38">
        <v>5</v>
      </c>
      <c r="BY17" s="41">
        <f t="shared" si="43"/>
        <v>2.7777777777777777</v>
      </c>
      <c r="BZ17" s="38">
        <v>26</v>
      </c>
      <c r="CA17" s="42">
        <f t="shared" si="44"/>
        <v>14.444444444444445</v>
      </c>
      <c r="CB17" s="37">
        <v>163</v>
      </c>
      <c r="CC17" s="38">
        <f t="shared" si="45"/>
        <v>142</v>
      </c>
      <c r="CD17" s="39">
        <f t="shared" si="46"/>
        <v>87.116564417177912</v>
      </c>
      <c r="CE17" s="38">
        <v>3</v>
      </c>
      <c r="CF17" s="41">
        <f t="shared" si="47"/>
        <v>1.8404907975460123</v>
      </c>
      <c r="CG17" s="38">
        <v>18</v>
      </c>
      <c r="CH17" s="42">
        <f t="shared" si="48"/>
        <v>11.042944785276074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</row>
    <row r="18" spans="1:107" s="7" customFormat="1" ht="51.9" customHeight="1" thickBot="1" x14ac:dyDescent="0.3">
      <c r="A18" s="49" t="s">
        <v>27</v>
      </c>
      <c r="B18" s="50"/>
      <c r="C18" s="51">
        <f>SUM(C10:C17)</f>
        <v>2906</v>
      </c>
      <c r="D18" s="52">
        <f t="shared" si="1"/>
        <v>1960</v>
      </c>
      <c r="E18" s="53">
        <f t="shared" si="2"/>
        <v>67.44666207845836</v>
      </c>
      <c r="F18" s="54">
        <v>466</v>
      </c>
      <c r="G18" s="53">
        <f t="shared" si="3"/>
        <v>16.035788024776323</v>
      </c>
      <c r="H18" s="54">
        <f>SUM(H10:H17)</f>
        <v>480</v>
      </c>
      <c r="I18" s="55">
        <f t="shared" si="4"/>
        <v>16.517549896765313</v>
      </c>
      <c r="J18" s="51">
        <f>SUM(J10:J17)</f>
        <v>2930</v>
      </c>
      <c r="K18" s="52">
        <f t="shared" si="5"/>
        <v>1938</v>
      </c>
      <c r="L18" s="53">
        <f t="shared" si="6"/>
        <v>66.143344709897605</v>
      </c>
      <c r="M18" s="52">
        <f>SUM(M10:M17)</f>
        <v>492</v>
      </c>
      <c r="N18" s="53">
        <f t="shared" si="7"/>
        <v>16.791808873720136</v>
      </c>
      <c r="O18" s="54">
        <f>SUM(O10:O17)</f>
        <v>500</v>
      </c>
      <c r="P18" s="55">
        <f t="shared" si="8"/>
        <v>17.064846416382252</v>
      </c>
      <c r="Q18" s="51">
        <f>SUM(Q10:Q17)</f>
        <v>2925</v>
      </c>
      <c r="R18" s="52">
        <f t="shared" si="9"/>
        <v>1919</v>
      </c>
      <c r="S18" s="87">
        <f t="shared" si="10"/>
        <v>65.606837606837601</v>
      </c>
      <c r="T18" s="52">
        <f>SUM(T10:T17)</f>
        <v>489</v>
      </c>
      <c r="U18" s="55">
        <f t="shared" si="11"/>
        <v>16.717948717948719</v>
      </c>
      <c r="V18" s="54">
        <f>SUM(V10:V17)</f>
        <v>517</v>
      </c>
      <c r="W18" s="56">
        <f t="shared" si="12"/>
        <v>17.675213675213676</v>
      </c>
      <c r="X18" s="51" t="e">
        <f>SUM(X10:X17)</f>
        <v>#REF!</v>
      </c>
      <c r="Y18" s="52" t="e">
        <f t="shared" si="13"/>
        <v>#REF!</v>
      </c>
      <c r="Z18" s="87" t="e">
        <f t="shared" si="14"/>
        <v>#REF!</v>
      </c>
      <c r="AA18" s="52">
        <f>SUM(AA10:AA17)</f>
        <v>495</v>
      </c>
      <c r="AB18" s="55" t="e">
        <f t="shared" si="15"/>
        <v>#REF!</v>
      </c>
      <c r="AC18" s="54">
        <f>SUM(AC10:AC17)</f>
        <v>711</v>
      </c>
      <c r="AD18" s="56" t="e">
        <f t="shared" si="16"/>
        <v>#REF!</v>
      </c>
      <c r="AE18" s="51">
        <f>SUM(AE10:AE17)</f>
        <v>3206</v>
      </c>
      <c r="AF18" s="52" t="e">
        <f t="shared" si="17"/>
        <v>#REF!</v>
      </c>
      <c r="AG18" s="87" t="e">
        <f t="shared" si="18"/>
        <v>#REF!</v>
      </c>
      <c r="AH18" s="52" t="e">
        <f>SUM(AH10:AH17)</f>
        <v>#REF!</v>
      </c>
      <c r="AI18" s="55" t="e">
        <f t="shared" si="19"/>
        <v>#REF!</v>
      </c>
      <c r="AJ18" s="54">
        <f>SUM(AJ10:AJ17)</f>
        <v>698</v>
      </c>
      <c r="AK18" s="56">
        <f t="shared" si="20"/>
        <v>21.771678103555832</v>
      </c>
      <c r="AL18" s="51">
        <f>SUM(AL10:AL17)</f>
        <v>3255</v>
      </c>
      <c r="AM18" s="52" t="e">
        <f t="shared" si="21"/>
        <v>#REF!</v>
      </c>
      <c r="AN18" s="87" t="e">
        <f t="shared" si="22"/>
        <v>#REF!</v>
      </c>
      <c r="AO18" s="52" t="e">
        <f>SUM(AO10:AO17)</f>
        <v>#REF!</v>
      </c>
      <c r="AP18" s="55" t="e">
        <f t="shared" si="23"/>
        <v>#REF!</v>
      </c>
      <c r="AQ18" s="54">
        <f>SUM(AQ10:AQ17)</f>
        <v>732</v>
      </c>
      <c r="AR18" s="56">
        <f t="shared" si="24"/>
        <v>22.488479262672811</v>
      </c>
      <c r="AS18" s="51">
        <f>SUM(AS10:AS17)</f>
        <v>3027</v>
      </c>
      <c r="AT18" s="52" t="e">
        <f t="shared" si="25"/>
        <v>#REF!</v>
      </c>
      <c r="AU18" s="87" t="e">
        <f t="shared" si="26"/>
        <v>#REF!</v>
      </c>
      <c r="AV18" s="52" t="e">
        <f>SUM(AV10:AV17)</f>
        <v>#REF!</v>
      </c>
      <c r="AW18" s="55" t="e">
        <f t="shared" si="27"/>
        <v>#REF!</v>
      </c>
      <c r="AX18" s="54" t="e">
        <f>SUM(AX10:AX17)</f>
        <v>#REF!</v>
      </c>
      <c r="AY18" s="56" t="e">
        <f t="shared" si="28"/>
        <v>#REF!</v>
      </c>
      <c r="AZ18" s="51">
        <f>SUM(AZ10:AZ17)</f>
        <v>2744</v>
      </c>
      <c r="BA18" s="52">
        <f t="shared" si="29"/>
        <v>1893</v>
      </c>
      <c r="BB18" s="87">
        <f t="shared" si="30"/>
        <v>68.9868804664723</v>
      </c>
      <c r="BC18" s="52">
        <f>SUM(BC10:BC17)</f>
        <v>270</v>
      </c>
      <c r="BD18" s="55">
        <f t="shared" si="31"/>
        <v>9.8396501457725947</v>
      </c>
      <c r="BE18" s="54">
        <f>SUM(BE10:BE17)</f>
        <v>581</v>
      </c>
      <c r="BF18" s="56">
        <f t="shared" si="32"/>
        <v>21.173469387755102</v>
      </c>
      <c r="BG18" s="51">
        <f>SUM(BG10:BG17)</f>
        <v>2558</v>
      </c>
      <c r="BH18" s="52">
        <f t="shared" si="33"/>
        <v>1803</v>
      </c>
      <c r="BI18" s="87">
        <f t="shared" si="34"/>
        <v>70.484753713838941</v>
      </c>
      <c r="BJ18" s="52">
        <f>SUM(BJ10:BJ17)</f>
        <v>244</v>
      </c>
      <c r="BK18" s="55">
        <f t="shared" si="35"/>
        <v>9.5387021110242376</v>
      </c>
      <c r="BL18" s="54">
        <f>SUM(BL10:BL17)</f>
        <v>511</v>
      </c>
      <c r="BM18" s="56">
        <f t="shared" si="36"/>
        <v>19.976544175136826</v>
      </c>
      <c r="BN18" s="51">
        <f>SUM(BN10:BN17)</f>
        <v>2369</v>
      </c>
      <c r="BO18" s="52">
        <f t="shared" si="37"/>
        <v>1689</v>
      </c>
      <c r="BP18" s="87">
        <f t="shared" si="38"/>
        <v>71.295905445335578</v>
      </c>
      <c r="BQ18" s="52">
        <f>SUM(BQ10:BQ17)</f>
        <v>200</v>
      </c>
      <c r="BR18" s="55">
        <f t="shared" si="39"/>
        <v>8.4423807513718874</v>
      </c>
      <c r="BS18" s="54">
        <f>SUM(BS10:BS17)</f>
        <v>480</v>
      </c>
      <c r="BT18" s="56">
        <f t="shared" si="40"/>
        <v>20.26171380329253</v>
      </c>
      <c r="BU18" s="51">
        <f>SUM(BU10:BU17)</f>
        <v>2264</v>
      </c>
      <c r="BV18" s="52">
        <f>SUM(BV10:BV17)</f>
        <v>1627</v>
      </c>
      <c r="BW18" s="87">
        <f>BV18*100/BU18</f>
        <v>71.86395759717314</v>
      </c>
      <c r="BX18" s="52">
        <f>SUM(BX10:BX17)</f>
        <v>176</v>
      </c>
      <c r="BY18" s="55">
        <f>BX18*100/BU18</f>
        <v>7.7738515901060072</v>
      </c>
      <c r="BZ18" s="54">
        <f>SUM(BZ10:BZ17)</f>
        <v>461</v>
      </c>
      <c r="CA18" s="56">
        <f>BZ18*100/BU18</f>
        <v>20.362190812720847</v>
      </c>
      <c r="CB18" s="51">
        <f>SUM(CB10:CB17)</f>
        <v>2082</v>
      </c>
      <c r="CC18" s="52">
        <f>SUM(CC10:CC17)</f>
        <v>1498</v>
      </c>
      <c r="CD18" s="87">
        <f>CC18*100/CB18</f>
        <v>71.95004803073968</v>
      </c>
      <c r="CE18" s="52">
        <f>SUM(CE10:CE17)</f>
        <v>130</v>
      </c>
      <c r="CF18" s="55">
        <f>CE18*100/CB18</f>
        <v>6.2439961575408258</v>
      </c>
      <c r="CG18" s="54">
        <f>SUM(CG10:CG17)</f>
        <v>432</v>
      </c>
      <c r="CH18" s="56">
        <f>CG18*100/CB18</f>
        <v>20.749279538904901</v>
      </c>
      <c r="CI18" s="51">
        <f>SUM(CI10:CI17)</f>
        <v>1982</v>
      </c>
      <c r="CJ18" s="52">
        <f>SUM(CJ10:CJ17)</f>
        <v>1429</v>
      </c>
      <c r="CK18" s="87">
        <f>CJ18*100/CI18</f>
        <v>72.098890010090813</v>
      </c>
      <c r="CL18" s="52">
        <f>SUM(CL10:CL17)</f>
        <v>89</v>
      </c>
      <c r="CM18" s="55">
        <f>CL18*100/CI18</f>
        <v>4.4904137235116046</v>
      </c>
      <c r="CN18" s="54">
        <f>SUM(CN10:CN17)</f>
        <v>431</v>
      </c>
      <c r="CO18" s="56">
        <f>CN18*100/CI18</f>
        <v>21.745711402623613</v>
      </c>
      <c r="CP18" s="51">
        <f>SUM(CP10:CP17)</f>
        <v>1853</v>
      </c>
      <c r="CQ18" s="52">
        <f>SUM(CQ10:CQ17)</f>
        <v>1336</v>
      </c>
      <c r="CR18" s="87">
        <f>CQ18*100/CP18</f>
        <v>72.099298434970322</v>
      </c>
      <c r="CS18" s="52">
        <f>SUM(CS10:CS17)</f>
        <v>57</v>
      </c>
      <c r="CT18" s="55">
        <f>CS18*100/CP18</f>
        <v>3.076092822450081</v>
      </c>
      <c r="CU18" s="54">
        <f>SUM(CU10:CU17)</f>
        <v>419</v>
      </c>
      <c r="CV18" s="56">
        <f>CU18*100/CP18</f>
        <v>22.611980572045333</v>
      </c>
      <c r="CW18" s="51">
        <f>SUM(CW10:CW17)</f>
        <v>1720</v>
      </c>
      <c r="CX18" s="52">
        <f>SUM(CX10:CX17)</f>
        <v>1215</v>
      </c>
      <c r="CY18" s="87">
        <f>CX18*100/CW18</f>
        <v>70.639534883720927</v>
      </c>
      <c r="CZ18" s="52">
        <f>SUM(CZ10:CZ17)</f>
        <v>53</v>
      </c>
      <c r="DA18" s="55">
        <f>CZ18*100/CW18</f>
        <v>3.0813953488372094</v>
      </c>
      <c r="DB18" s="54">
        <f>SUM(DB10:DB17)</f>
        <v>421</v>
      </c>
      <c r="DC18" s="56">
        <f>DB18*100/CW18</f>
        <v>24.476744186046513</v>
      </c>
    </row>
    <row r="19" spans="1:107" s="43" customFormat="1" x14ac:dyDescent="0.25">
      <c r="B19" s="4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107" s="43" customFormat="1" x14ac:dyDescent="0.25">
      <c r="A20" s="46" t="s">
        <v>61</v>
      </c>
      <c r="B20" s="4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107" s="43" customFormat="1" x14ac:dyDescent="0.25">
      <c r="A21" s="46" t="s">
        <v>62</v>
      </c>
      <c r="B21" s="4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107" s="43" customFormat="1" x14ac:dyDescent="0.25">
      <c r="B22" s="4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107" s="43" customFormat="1" x14ac:dyDescent="0.25"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107" s="43" customFormat="1" x14ac:dyDescent="0.25">
      <c r="B24" s="4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107" s="43" customFormat="1" x14ac:dyDescent="0.25">
      <c r="B25" s="4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107" s="43" customFormat="1" x14ac:dyDescent="0.25">
      <c r="B26" s="4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107" s="43" customFormat="1" x14ac:dyDescent="0.25">
      <c r="B27" s="4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107" s="43" customFormat="1" x14ac:dyDescent="0.25"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107" s="43" customFormat="1" x14ac:dyDescent="0.25">
      <c r="B29" s="4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107" s="43" customFormat="1" x14ac:dyDescent="0.25">
      <c r="B30" s="4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107" s="43" customFormat="1" x14ac:dyDescent="0.25">
      <c r="B31" s="4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107" s="43" customFormat="1" x14ac:dyDescent="0.25">
      <c r="B32" s="4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2:79" s="43" customFormat="1" x14ac:dyDescent="0.25">
      <c r="B33" s="4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2:79" s="43" customFormat="1" x14ac:dyDescent="0.25">
      <c r="B34" s="4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2:79" s="43" customFormat="1" x14ac:dyDescent="0.25">
      <c r="B35" s="4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2:79" s="43" customFormat="1" x14ac:dyDescent="0.25">
      <c r="B36" s="4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2:79" s="43" customFormat="1" x14ac:dyDescent="0.25">
      <c r="B37" s="4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2:79" s="43" customFormat="1" x14ac:dyDescent="0.25">
      <c r="B38" s="4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2:79" s="43" customFormat="1" x14ac:dyDescent="0.25">
      <c r="B39" s="4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2:79" s="43" customFormat="1" x14ac:dyDescent="0.25">
      <c r="B40" s="4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2:79" s="43" customFormat="1" x14ac:dyDescent="0.25">
      <c r="B41" s="4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2:79" s="43" customFormat="1" x14ac:dyDescent="0.25">
      <c r="B42" s="4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2:79" s="43" customFormat="1" x14ac:dyDescent="0.25">
      <c r="B43" s="4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2:79" s="43" customFormat="1" x14ac:dyDescent="0.25">
      <c r="B44" s="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2:79" s="43" customFormat="1" x14ac:dyDescent="0.25">
      <c r="B45" s="4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2:79" s="43" customFormat="1" x14ac:dyDescent="0.25">
      <c r="B46" s="4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2:79" s="43" customFormat="1" x14ac:dyDescent="0.25">
      <c r="B47" s="4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2:79" s="43" customFormat="1" x14ac:dyDescent="0.25">
      <c r="B48" s="4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2:79" s="43" customFormat="1" x14ac:dyDescent="0.25">
      <c r="B49" s="4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s="43" customFormat="1" x14ac:dyDescent="0.25">
      <c r="B50" s="4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2:79" s="43" customFormat="1" x14ac:dyDescent="0.25">
      <c r="B51" s="4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2:79" s="43" customFormat="1" x14ac:dyDescent="0.25">
      <c r="B52" s="4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2:79" s="43" customFormat="1" x14ac:dyDescent="0.25">
      <c r="B53" s="4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2:79" s="43" customFormat="1" x14ac:dyDescent="0.25">
      <c r="B54" s="4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2:79" s="43" customFormat="1" x14ac:dyDescent="0.25">
      <c r="B55" s="4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2:79" s="43" customFormat="1" x14ac:dyDescent="0.25">
      <c r="B56" s="4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2:79" s="43" customFormat="1" x14ac:dyDescent="0.25">
      <c r="B57" s="4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2:79" s="43" customFormat="1" x14ac:dyDescent="0.25">
      <c r="B58" s="4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2:79" s="43" customFormat="1" x14ac:dyDescent="0.25">
      <c r="B59" s="4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2:79" s="43" customFormat="1" x14ac:dyDescent="0.25">
      <c r="B60" s="4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2:79" s="43" customFormat="1" x14ac:dyDescent="0.25">
      <c r="B61" s="4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2:79" s="43" customFormat="1" x14ac:dyDescent="0.25">
      <c r="B62" s="4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2:79" s="43" customFormat="1" x14ac:dyDescent="0.25">
      <c r="B63" s="4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2:79" s="43" customFormat="1" x14ac:dyDescent="0.25">
      <c r="B64" s="4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2:79" s="43" customFormat="1" x14ac:dyDescent="0.25">
      <c r="B65" s="4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2:79" s="43" customFormat="1" x14ac:dyDescent="0.25">
      <c r="B66" s="4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2:79" s="43" customFormat="1" x14ac:dyDescent="0.25">
      <c r="B67" s="4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2:79" s="43" customFormat="1" x14ac:dyDescent="0.25"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2:79" s="43" customFormat="1" x14ac:dyDescent="0.25">
      <c r="B69" s="4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2:79" s="43" customFormat="1" x14ac:dyDescent="0.25">
      <c r="B70" s="4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2:79" s="43" customFormat="1" x14ac:dyDescent="0.25">
      <c r="B71" s="4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2:79" s="43" customFormat="1" x14ac:dyDescent="0.25">
      <c r="B72" s="4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2:79" s="43" customFormat="1" x14ac:dyDescent="0.25">
      <c r="B73" s="4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2:79" s="43" customFormat="1" x14ac:dyDescent="0.25">
      <c r="B74" s="4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2:79" s="43" customFormat="1" x14ac:dyDescent="0.25">
      <c r="B75" s="4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2:79" s="43" customFormat="1" x14ac:dyDescent="0.25">
      <c r="B76" s="4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2:79" s="43" customFormat="1" x14ac:dyDescent="0.25">
      <c r="B77" s="4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2:79" s="43" customFormat="1" x14ac:dyDescent="0.25">
      <c r="B78" s="4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2:79" s="43" customFormat="1" x14ac:dyDescent="0.25">
      <c r="B79" s="4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2:79" s="43" customFormat="1" x14ac:dyDescent="0.25">
      <c r="B80" s="4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2:79" s="43" customFormat="1" x14ac:dyDescent="0.25">
      <c r="B81" s="4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2:79" s="43" customFormat="1" x14ac:dyDescent="0.25">
      <c r="B82" s="4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2:79" s="43" customFormat="1" x14ac:dyDescent="0.25">
      <c r="B83" s="4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2:79" s="43" customFormat="1" x14ac:dyDescent="0.25">
      <c r="B84" s="4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2:79" s="43" customFormat="1" x14ac:dyDescent="0.25">
      <c r="B85" s="4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2:79" s="43" customFormat="1" x14ac:dyDescent="0.25">
      <c r="B86" s="4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2:79" s="43" customFormat="1" x14ac:dyDescent="0.25">
      <c r="B87" s="4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2:79" s="43" customFormat="1" x14ac:dyDescent="0.25">
      <c r="B88" s="4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2:79" s="43" customFormat="1" x14ac:dyDescent="0.25">
      <c r="B89" s="4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2:79" s="43" customFormat="1" x14ac:dyDescent="0.25">
      <c r="B90" s="4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2:79" s="43" customFormat="1" x14ac:dyDescent="0.25">
      <c r="B91" s="4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2:79" s="43" customFormat="1" x14ac:dyDescent="0.25">
      <c r="B92" s="4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2:79" s="43" customFormat="1" x14ac:dyDescent="0.25">
      <c r="B93" s="4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2:79" s="43" customFormat="1" x14ac:dyDescent="0.25">
      <c r="B94" s="4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2:79" s="43" customFormat="1" x14ac:dyDescent="0.25">
      <c r="B95" s="4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2:79" s="43" customFormat="1" x14ac:dyDescent="0.25">
      <c r="B96" s="4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2:79" s="43" customFormat="1" x14ac:dyDescent="0.25">
      <c r="B97" s="4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2:79" s="43" customFormat="1" x14ac:dyDescent="0.25">
      <c r="B98" s="4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2:79" s="43" customFormat="1" x14ac:dyDescent="0.25">
      <c r="B99" s="4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2:79" s="43" customFormat="1" x14ac:dyDescent="0.25">
      <c r="B100" s="4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2:79" s="43" customFormat="1" x14ac:dyDescent="0.25">
      <c r="B101" s="4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2:79" s="43" customFormat="1" x14ac:dyDescent="0.25">
      <c r="B102" s="4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2:79" s="43" customFormat="1" x14ac:dyDescent="0.25">
      <c r="B103" s="4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2:79" s="43" customFormat="1" x14ac:dyDescent="0.25">
      <c r="B104" s="4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2:79" s="43" customFormat="1" x14ac:dyDescent="0.25">
      <c r="B105" s="4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2:79" s="43" customFormat="1" x14ac:dyDescent="0.25">
      <c r="B106" s="4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2:79" s="43" customFormat="1" x14ac:dyDescent="0.25">
      <c r="B107" s="4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2:79" s="43" customFormat="1" x14ac:dyDescent="0.25">
      <c r="B108" s="4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2:79" s="43" customFormat="1" x14ac:dyDescent="0.25">
      <c r="B109" s="4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2:79" s="43" customFormat="1" x14ac:dyDescent="0.25">
      <c r="B110" s="4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2:79" s="43" customFormat="1" x14ac:dyDescent="0.25">
      <c r="B111" s="4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2:79" s="43" customFormat="1" x14ac:dyDescent="0.25">
      <c r="B112" s="4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2:79" s="43" customFormat="1" x14ac:dyDescent="0.25">
      <c r="B113" s="4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2:79" s="43" customFormat="1" x14ac:dyDescent="0.25">
      <c r="B114" s="4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2:79" s="43" customFormat="1" x14ac:dyDescent="0.25">
      <c r="B115" s="4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2:79" s="43" customFormat="1" x14ac:dyDescent="0.25">
      <c r="B116" s="4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2:79" s="43" customFormat="1" x14ac:dyDescent="0.25">
      <c r="B117" s="4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2:79" s="43" customFormat="1" x14ac:dyDescent="0.25">
      <c r="B118" s="4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2:79" s="43" customFormat="1" x14ac:dyDescent="0.25">
      <c r="B119" s="4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2:79" s="43" customFormat="1" x14ac:dyDescent="0.25">
      <c r="B120" s="4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2:79" s="43" customFormat="1" x14ac:dyDescent="0.25">
      <c r="B121" s="4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2:79" s="43" customFormat="1" x14ac:dyDescent="0.25">
      <c r="B122" s="4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2:79" s="43" customFormat="1" x14ac:dyDescent="0.25">
      <c r="B123" s="4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2:79" s="43" customFormat="1" x14ac:dyDescent="0.25">
      <c r="B124" s="4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2:79" s="43" customFormat="1" x14ac:dyDescent="0.25">
      <c r="B125" s="4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2:79" s="43" customFormat="1" x14ac:dyDescent="0.25">
      <c r="B126" s="4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2:79" s="43" customFormat="1" x14ac:dyDescent="0.25">
      <c r="B127" s="4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2:79" s="43" customFormat="1" x14ac:dyDescent="0.25">
      <c r="B128" s="4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2:79" s="43" customFormat="1" x14ac:dyDescent="0.25">
      <c r="B129" s="4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2:79" s="43" customFormat="1" x14ac:dyDescent="0.25">
      <c r="B130" s="4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2:79" s="43" customFormat="1" x14ac:dyDescent="0.25">
      <c r="B131" s="4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2:79" s="43" customFormat="1" x14ac:dyDescent="0.25">
      <c r="B132" s="4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2:79" s="43" customFormat="1" x14ac:dyDescent="0.25">
      <c r="B133" s="4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2:79" s="43" customFormat="1" x14ac:dyDescent="0.25">
      <c r="B134" s="4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2:79" s="43" customFormat="1" x14ac:dyDescent="0.25">
      <c r="B135" s="4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2:79" s="43" customFormat="1" x14ac:dyDescent="0.25">
      <c r="B136" s="4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2:79" s="43" customFormat="1" x14ac:dyDescent="0.25">
      <c r="B137" s="4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2:79" s="43" customFormat="1" x14ac:dyDescent="0.25">
      <c r="B138" s="4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2:79" s="43" customFormat="1" x14ac:dyDescent="0.25">
      <c r="B139" s="4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2:79" s="43" customFormat="1" x14ac:dyDescent="0.25">
      <c r="B140" s="4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2:79" s="43" customFormat="1" x14ac:dyDescent="0.25">
      <c r="B141" s="4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2:79" s="43" customFormat="1" x14ac:dyDescent="0.25">
      <c r="B142" s="4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2:79" s="43" customFormat="1" x14ac:dyDescent="0.25">
      <c r="B143" s="4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2:79" s="43" customFormat="1" x14ac:dyDescent="0.25">
      <c r="B144" s="4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2:79" s="43" customFormat="1" x14ac:dyDescent="0.25">
      <c r="B145" s="4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2:79" s="43" customFormat="1" x14ac:dyDescent="0.25">
      <c r="B146" s="4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2:79" s="43" customFormat="1" x14ac:dyDescent="0.25">
      <c r="B147" s="4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2:79" s="43" customFormat="1" x14ac:dyDescent="0.25">
      <c r="B148" s="4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2:79" s="43" customFormat="1" x14ac:dyDescent="0.25">
      <c r="B149" s="4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2:79" s="43" customFormat="1" x14ac:dyDescent="0.25">
      <c r="B150" s="4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2:79" s="43" customFormat="1" x14ac:dyDescent="0.25">
      <c r="B151" s="4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2:79" s="43" customFormat="1" x14ac:dyDescent="0.25">
      <c r="B152" s="4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2:79" s="43" customFormat="1" x14ac:dyDescent="0.25">
      <c r="B153" s="4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2:79" s="43" customFormat="1" x14ac:dyDescent="0.25">
      <c r="B154" s="4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2:79" s="43" customFormat="1" x14ac:dyDescent="0.25">
      <c r="B155" s="4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2:79" s="43" customFormat="1" x14ac:dyDescent="0.25">
      <c r="B156" s="4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2:79" s="43" customFormat="1" x14ac:dyDescent="0.25">
      <c r="B157" s="4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2:79" s="43" customFormat="1" x14ac:dyDescent="0.25">
      <c r="B158" s="4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2:79" s="43" customFormat="1" x14ac:dyDescent="0.25">
      <c r="B159" s="4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2:79" s="43" customFormat="1" x14ac:dyDescent="0.25">
      <c r="B160" s="4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2:79" s="43" customFormat="1" x14ac:dyDescent="0.25">
      <c r="B161" s="4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2:79" s="43" customFormat="1" x14ac:dyDescent="0.25">
      <c r="B162" s="4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2:79" s="43" customFormat="1" x14ac:dyDescent="0.25">
      <c r="B163" s="4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2:79" s="43" customFormat="1" x14ac:dyDescent="0.25">
      <c r="B164" s="4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2:79" s="43" customFormat="1" x14ac:dyDescent="0.25">
      <c r="B165" s="4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2:79" s="43" customFormat="1" x14ac:dyDescent="0.25">
      <c r="B166" s="4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2:79" s="43" customFormat="1" x14ac:dyDescent="0.25">
      <c r="B167" s="4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2:79" s="43" customFormat="1" x14ac:dyDescent="0.25">
      <c r="B168" s="4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2:79" s="43" customFormat="1" x14ac:dyDescent="0.25">
      <c r="B169" s="4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2:79" s="43" customFormat="1" x14ac:dyDescent="0.25">
      <c r="B170" s="4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2:79" s="43" customFormat="1" x14ac:dyDescent="0.25">
      <c r="B171" s="4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2:79" s="43" customFormat="1" x14ac:dyDescent="0.25">
      <c r="B172" s="4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2:79" s="43" customFormat="1" x14ac:dyDescent="0.25">
      <c r="B173" s="4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2:79" s="43" customFormat="1" x14ac:dyDescent="0.25">
      <c r="B174" s="4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2:79" s="43" customFormat="1" x14ac:dyDescent="0.25">
      <c r="B175" s="4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2:79" s="43" customFormat="1" x14ac:dyDescent="0.25">
      <c r="B176" s="4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2:79" s="43" customFormat="1" x14ac:dyDescent="0.25">
      <c r="B177" s="4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2:79" s="43" customFormat="1" x14ac:dyDescent="0.25">
      <c r="B178" s="4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2:79" s="43" customFormat="1" x14ac:dyDescent="0.25">
      <c r="B179" s="4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2:79" s="43" customFormat="1" x14ac:dyDescent="0.25">
      <c r="B180" s="4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2:79" s="43" customFormat="1" x14ac:dyDescent="0.25">
      <c r="B181" s="4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2:79" s="43" customFormat="1" x14ac:dyDescent="0.25">
      <c r="B182" s="4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2:79" s="43" customFormat="1" x14ac:dyDescent="0.25">
      <c r="B183" s="4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2:79" s="43" customFormat="1" x14ac:dyDescent="0.25">
      <c r="B184" s="4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2:79" s="43" customFormat="1" x14ac:dyDescent="0.25">
      <c r="B185" s="4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2:79" s="43" customFormat="1" x14ac:dyDescent="0.25">
      <c r="B186" s="4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2:79" s="43" customFormat="1" x14ac:dyDescent="0.25">
      <c r="B187" s="4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  <row r="188" spans="2:79" s="43" customFormat="1" x14ac:dyDescent="0.25">
      <c r="B188" s="4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</row>
    <row r="189" spans="2:79" s="43" customFormat="1" x14ac:dyDescent="0.25">
      <c r="B189" s="4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</row>
    <row r="190" spans="2:79" s="43" customFormat="1" x14ac:dyDescent="0.25">
      <c r="B190" s="4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</row>
    <row r="191" spans="2:79" s="43" customFormat="1" x14ac:dyDescent="0.25">
      <c r="B191" s="4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</row>
    <row r="192" spans="2:79" s="43" customFormat="1" x14ac:dyDescent="0.25">
      <c r="B192" s="4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</row>
    <row r="193" spans="2:79" s="43" customFormat="1" x14ac:dyDescent="0.25">
      <c r="B193" s="4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</row>
    <row r="194" spans="2:79" s="43" customFormat="1" x14ac:dyDescent="0.25">
      <c r="B194" s="4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</row>
    <row r="195" spans="2:79" s="43" customFormat="1" x14ac:dyDescent="0.25">
      <c r="B195" s="4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2:79" s="43" customFormat="1" x14ac:dyDescent="0.25">
      <c r="B196" s="4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</row>
    <row r="197" spans="2:79" s="43" customFormat="1" x14ac:dyDescent="0.25">
      <c r="B197" s="4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</row>
    <row r="198" spans="2:79" s="43" customFormat="1" x14ac:dyDescent="0.25">
      <c r="B198" s="4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2:79" s="43" customFormat="1" x14ac:dyDescent="0.25">
      <c r="B199" s="4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2:79" s="43" customFormat="1" x14ac:dyDescent="0.25">
      <c r="B200" s="4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</row>
    <row r="201" spans="2:79" s="43" customFormat="1" x14ac:dyDescent="0.25">
      <c r="B201" s="4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</row>
    <row r="202" spans="2:79" s="43" customFormat="1" x14ac:dyDescent="0.25">
      <c r="B202" s="4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</row>
    <row r="203" spans="2:79" s="43" customFormat="1" x14ac:dyDescent="0.25">
      <c r="B203" s="4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</row>
    <row r="204" spans="2:79" s="43" customFormat="1" x14ac:dyDescent="0.25">
      <c r="B204" s="4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</row>
    <row r="205" spans="2:79" s="43" customFormat="1" x14ac:dyDescent="0.25">
      <c r="B205" s="4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</row>
    <row r="206" spans="2:79" s="43" customFormat="1" x14ac:dyDescent="0.25">
      <c r="B206" s="4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</row>
    <row r="207" spans="2:79" s="43" customFormat="1" x14ac:dyDescent="0.25">
      <c r="B207" s="4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</row>
    <row r="208" spans="2:79" s="43" customFormat="1" x14ac:dyDescent="0.25">
      <c r="B208" s="4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</row>
    <row r="209" spans="2:79" s="43" customFormat="1" x14ac:dyDescent="0.25">
      <c r="B209" s="4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</row>
    <row r="210" spans="2:79" s="43" customFormat="1" x14ac:dyDescent="0.25">
      <c r="B210" s="4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2:79" s="43" customFormat="1" x14ac:dyDescent="0.25">
      <c r="B211" s="4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</row>
    <row r="212" spans="2:79" s="43" customFormat="1" x14ac:dyDescent="0.25">
      <c r="B212" s="4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</row>
    <row r="213" spans="2:79" s="43" customFormat="1" x14ac:dyDescent="0.25">
      <c r="B213" s="4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</row>
    <row r="214" spans="2:79" s="43" customFormat="1" x14ac:dyDescent="0.25">
      <c r="B214" s="4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</row>
    <row r="215" spans="2:79" s="43" customFormat="1" x14ac:dyDescent="0.25">
      <c r="B215" s="4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</row>
    <row r="216" spans="2:79" s="43" customFormat="1" x14ac:dyDescent="0.25">
      <c r="B216" s="4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</row>
    <row r="217" spans="2:79" s="43" customFormat="1" x14ac:dyDescent="0.25">
      <c r="B217" s="4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</row>
    <row r="218" spans="2:79" s="43" customFormat="1" x14ac:dyDescent="0.25">
      <c r="B218" s="4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</row>
    <row r="219" spans="2:79" s="43" customFormat="1" x14ac:dyDescent="0.25">
      <c r="B219" s="4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</row>
    <row r="220" spans="2:79" s="43" customFormat="1" x14ac:dyDescent="0.25">
      <c r="B220" s="4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</row>
    <row r="221" spans="2:79" s="43" customFormat="1" x14ac:dyDescent="0.25">
      <c r="B221" s="4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</row>
    <row r="222" spans="2:79" s="43" customFormat="1" x14ac:dyDescent="0.25">
      <c r="B222" s="4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</row>
    <row r="223" spans="2:79" s="43" customFormat="1" x14ac:dyDescent="0.25">
      <c r="B223" s="4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</row>
    <row r="224" spans="2:79" s="43" customFormat="1" x14ac:dyDescent="0.25">
      <c r="B224" s="4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</row>
    <row r="225" spans="2:79" s="43" customFormat="1" x14ac:dyDescent="0.25">
      <c r="B225" s="4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</row>
    <row r="226" spans="2:79" s="43" customFormat="1" x14ac:dyDescent="0.25">
      <c r="B226" s="4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</row>
    <row r="227" spans="2:79" s="43" customFormat="1" x14ac:dyDescent="0.25">
      <c r="B227" s="4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</row>
    <row r="228" spans="2:79" s="43" customFormat="1" x14ac:dyDescent="0.25">
      <c r="B228" s="4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</row>
    <row r="229" spans="2:79" s="43" customFormat="1" x14ac:dyDescent="0.25">
      <c r="B229" s="4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</row>
    <row r="230" spans="2:79" s="43" customFormat="1" x14ac:dyDescent="0.25">
      <c r="B230" s="4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</row>
    <row r="231" spans="2:79" s="43" customFormat="1" x14ac:dyDescent="0.25">
      <c r="B231" s="4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</row>
    <row r="232" spans="2:79" s="43" customFormat="1" x14ac:dyDescent="0.25">
      <c r="B232" s="4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</row>
    <row r="233" spans="2:79" s="43" customFormat="1" x14ac:dyDescent="0.25">
      <c r="B233" s="4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</row>
    <row r="234" spans="2:79" s="43" customFormat="1" x14ac:dyDescent="0.25">
      <c r="B234" s="4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</row>
    <row r="235" spans="2:79" s="43" customFormat="1" x14ac:dyDescent="0.25">
      <c r="B235" s="4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</row>
    <row r="236" spans="2:79" s="43" customFormat="1" x14ac:dyDescent="0.25">
      <c r="B236" s="4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</row>
    <row r="237" spans="2:79" s="43" customFormat="1" x14ac:dyDescent="0.25">
      <c r="B237" s="4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</row>
    <row r="238" spans="2:79" x14ac:dyDescent="0.25">
      <c r="B238" s="44"/>
    </row>
    <row r="239" spans="2:79" x14ac:dyDescent="0.25">
      <c r="B239" s="44"/>
    </row>
    <row r="240" spans="2:79" x14ac:dyDescent="0.25">
      <c r="B240" s="44"/>
    </row>
    <row r="241" spans="2:2" x14ac:dyDescent="0.25">
      <c r="B241" s="44"/>
    </row>
    <row r="242" spans="2:2" x14ac:dyDescent="0.25">
      <c r="B242" s="44"/>
    </row>
    <row r="243" spans="2:2" x14ac:dyDescent="0.25">
      <c r="B243" s="44"/>
    </row>
    <row r="244" spans="2:2" x14ac:dyDescent="0.25">
      <c r="B244" s="44"/>
    </row>
    <row r="245" spans="2:2" x14ac:dyDescent="0.25">
      <c r="B245" s="44"/>
    </row>
  </sheetData>
  <mergeCells count="92">
    <mergeCell ref="BG5:BM5"/>
    <mergeCell ref="BG6:BG8"/>
    <mergeCell ref="CI5:CO5"/>
    <mergeCell ref="CI6:CI8"/>
    <mergeCell ref="CJ6:CO6"/>
    <mergeCell ref="CJ7:CK7"/>
    <mergeCell ref="CL7:CM7"/>
    <mergeCell ref="CN7:CO7"/>
    <mergeCell ref="BU5:CA5"/>
    <mergeCell ref="BU6:BU8"/>
    <mergeCell ref="BV6:CA6"/>
    <mergeCell ref="BV7:BW7"/>
    <mergeCell ref="BX7:BY7"/>
    <mergeCell ref="BZ7:CA7"/>
    <mergeCell ref="BH6:BM6"/>
    <mergeCell ref="BH7:BI7"/>
    <mergeCell ref="BJ7:BK7"/>
    <mergeCell ref="BL7:BM7"/>
    <mergeCell ref="AF7:AG7"/>
    <mergeCell ref="AF6:AK6"/>
    <mergeCell ref="AM7:AN7"/>
    <mergeCell ref="AL6:AL8"/>
    <mergeCell ref="AM6:AR6"/>
    <mergeCell ref="BC7:BD7"/>
    <mergeCell ref="BE7:BF7"/>
    <mergeCell ref="AO7:AP7"/>
    <mergeCell ref="AQ7:AR7"/>
    <mergeCell ref="J6:J8"/>
    <mergeCell ref="K6:P6"/>
    <mergeCell ref="Y7:Z7"/>
    <mergeCell ref="X6:X8"/>
    <mergeCell ref="Y6:AD6"/>
    <mergeCell ref="AE6:AE8"/>
    <mergeCell ref="A5:A8"/>
    <mergeCell ref="B5:B8"/>
    <mergeCell ref="D7:E7"/>
    <mergeCell ref="C6:C8"/>
    <mergeCell ref="D6:I6"/>
    <mergeCell ref="C5:I5"/>
    <mergeCell ref="F7:G7"/>
    <mergeCell ref="H7:I7"/>
    <mergeCell ref="J5:P5"/>
    <mergeCell ref="AE5:AK5"/>
    <mergeCell ref="M7:N7"/>
    <mergeCell ref="O7:P7"/>
    <mergeCell ref="Q6:Q8"/>
    <mergeCell ref="R6:W6"/>
    <mergeCell ref="K7:L7"/>
    <mergeCell ref="AZ5:BF5"/>
    <mergeCell ref="BA7:BB7"/>
    <mergeCell ref="AZ6:AZ8"/>
    <mergeCell ref="BA6:BF6"/>
    <mergeCell ref="AV7:AW7"/>
    <mergeCell ref="AX7:AY7"/>
    <mergeCell ref="AT6:AY6"/>
    <mergeCell ref="AS5:AY5"/>
    <mergeCell ref="AT7:AU7"/>
    <mergeCell ref="AS6:AS8"/>
    <mergeCell ref="AL5:AR5"/>
    <mergeCell ref="Q5:W5"/>
    <mergeCell ref="BN5:BT5"/>
    <mergeCell ref="BN6:BN8"/>
    <mergeCell ref="BO6:BT6"/>
    <mergeCell ref="BO7:BP7"/>
    <mergeCell ref="BQ7:BR7"/>
    <mergeCell ref="BS7:BT7"/>
    <mergeCell ref="AA7:AB7"/>
    <mergeCell ref="AC7:AD7"/>
    <mergeCell ref="V7:W7"/>
    <mergeCell ref="X5:AD5"/>
    <mergeCell ref="R7:S7"/>
    <mergeCell ref="T7:U7"/>
    <mergeCell ref="AH7:AI7"/>
    <mergeCell ref="AJ7:AK7"/>
    <mergeCell ref="CB5:CH5"/>
    <mergeCell ref="CB6:CB8"/>
    <mergeCell ref="CC6:CH6"/>
    <mergeCell ref="CC7:CD7"/>
    <mergeCell ref="CE7:CF7"/>
    <mergeCell ref="CG7:CH7"/>
    <mergeCell ref="CP5:CV5"/>
    <mergeCell ref="CP6:CP8"/>
    <mergeCell ref="CQ6:CV6"/>
    <mergeCell ref="CQ7:CR7"/>
    <mergeCell ref="CS7:CT7"/>
    <mergeCell ref="CU7:CV7"/>
    <mergeCell ref="CW5:DC5"/>
    <mergeCell ref="CW6:CW8"/>
    <mergeCell ref="CX6:DC6"/>
    <mergeCell ref="CX7:CY7"/>
    <mergeCell ref="CZ7:DA7"/>
    <mergeCell ref="DB7:DC7"/>
  </mergeCells>
  <phoneticPr fontId="0" type="noConversion"/>
  <pageMargins left="0.3" right="0.2" top="1.17" bottom="0.984251969" header="0.56000000000000005" footer="0.4921259845"/>
  <pageSetup paperSize="9" scale="58" orientation="landscape" horizontalDpi="300" verticalDpi="300" r:id="rId1"/>
  <headerFooter alignWithMargins="0">
    <oddFooter>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Grunddaten</vt:lpstr>
      <vt:lpstr>Entw m_w</vt:lpstr>
      <vt:lpstr>Entw Ausl</vt:lpstr>
      <vt:lpstr>Grunddaten!Druckbereich</vt:lpstr>
      <vt:lpstr>Grunddaten!Drucktitel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Schulamt</dc:creator>
  <cp:lastModifiedBy>Thomas Werner</cp:lastModifiedBy>
  <cp:lastPrinted>2021-12-07T09:32:51Z</cp:lastPrinted>
  <dcterms:created xsi:type="dcterms:W3CDTF">2014-05-06T07:54:42Z</dcterms:created>
  <dcterms:modified xsi:type="dcterms:W3CDTF">2022-09-19T12:19:59Z</dcterms:modified>
</cp:coreProperties>
</file>