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.stadt-muenster.de\ds\0000\D18\18_01\3_DIGITALISIERUNG\Open-Data\Fachämter-Datensätze\40-Schule-und-Weiterbildung\Schulstatistik\veröffentlicht\"/>
    </mc:Choice>
  </mc:AlternateContent>
  <bookViews>
    <workbookView xWindow="240" yWindow="108" windowWidth="11532" windowHeight="6756" tabRatio="604"/>
  </bookViews>
  <sheets>
    <sheet name="Sek_1" sheetId="1" r:id="rId1"/>
    <sheet name="Sek_2" sheetId="2" r:id="rId2"/>
    <sheet name="Tabelle1" sheetId="8" state="hidden" r:id="rId3"/>
    <sheet name="Klassentypen_bis_16_17" sheetId="7" state="hidden" r:id="rId4"/>
    <sheet name="Entw. m_w" sheetId="6" state="hidden" r:id="rId5"/>
    <sheet name="Entw Ausl" sheetId="5" state="hidden" r:id="rId6"/>
  </sheets>
  <definedNames>
    <definedName name="_xlnm._FilterDatabase" localSheetId="0" hidden="1">Sek_1!$A$4:$AE$7</definedName>
    <definedName name="_xlnm._FilterDatabase" localSheetId="1" hidden="1">Sek_2!#REF!</definedName>
    <definedName name="_xlnm.Print_Titles" localSheetId="3">Klassentypen_bis_16_17!$1:$6</definedName>
    <definedName name="_xlnm.Print_Titles" localSheetId="0">Sek_1!$1:$7</definedName>
    <definedName name="_xlnm.Print_Titles" localSheetId="1">Sek_2!$53:$59</definedName>
  </definedNames>
  <calcPr calcId="162913"/>
</workbook>
</file>

<file path=xl/calcChain.xml><?xml version="1.0" encoding="utf-8"?>
<calcChain xmlns="http://schemas.openxmlformats.org/spreadsheetml/2006/main">
  <c r="V171" i="2" l="1"/>
  <c r="V172" i="2"/>
  <c r="V173" i="2"/>
  <c r="V174" i="2"/>
  <c r="V175" i="2"/>
  <c r="V176" i="2"/>
  <c r="V177" i="2"/>
  <c r="V178" i="2"/>
  <c r="V179" i="2"/>
  <c r="V180" i="2"/>
  <c r="V170" i="2"/>
  <c r="U171" i="2"/>
  <c r="U172" i="2"/>
  <c r="U173" i="2"/>
  <c r="U174" i="2"/>
  <c r="U175" i="2"/>
  <c r="U176" i="2"/>
  <c r="U177" i="2"/>
  <c r="U178" i="2"/>
  <c r="U179" i="2"/>
  <c r="U180" i="2"/>
  <c r="U170" i="2"/>
  <c r="U181" i="2" l="1"/>
  <c r="V181" i="2"/>
  <c r="R181" i="2"/>
  <c r="Q181" i="2"/>
  <c r="L181" i="2"/>
  <c r="K181" i="2"/>
  <c r="J181" i="2"/>
  <c r="I181" i="2"/>
  <c r="H181" i="2"/>
  <c r="G181" i="2"/>
  <c r="P180" i="2"/>
  <c r="O180" i="2"/>
  <c r="P179" i="2"/>
  <c r="O179" i="2"/>
  <c r="P178" i="2"/>
  <c r="O178" i="2"/>
  <c r="P177" i="2"/>
  <c r="O177" i="2"/>
  <c r="P176" i="2"/>
  <c r="O176" i="2"/>
  <c r="P175" i="2"/>
  <c r="O175" i="2"/>
  <c r="P174" i="2"/>
  <c r="O174" i="2"/>
  <c r="P173" i="2"/>
  <c r="O173" i="2"/>
  <c r="P172" i="2"/>
  <c r="O172" i="2"/>
  <c r="P171" i="2"/>
  <c r="O171" i="2"/>
  <c r="P170" i="2"/>
  <c r="O170" i="2"/>
  <c r="AD166" i="1"/>
  <c r="AC166" i="1"/>
  <c r="Z166" i="1"/>
  <c r="Y166" i="1"/>
  <c r="X166" i="1"/>
  <c r="V166" i="1"/>
  <c r="U166" i="1"/>
  <c r="T166" i="1"/>
  <c r="R166" i="1"/>
  <c r="Q166" i="1"/>
  <c r="P166" i="1"/>
  <c r="N166" i="1"/>
  <c r="M166" i="1"/>
  <c r="L166" i="1"/>
  <c r="J166" i="1"/>
  <c r="I166" i="1"/>
  <c r="H166" i="1"/>
  <c r="F166" i="1"/>
  <c r="E166" i="1"/>
  <c r="D166" i="1"/>
  <c r="AE165" i="1"/>
  <c r="F180" i="2" s="1"/>
  <c r="AB165" i="1"/>
  <c r="E180" i="2" s="1"/>
  <c r="AA165" i="1"/>
  <c r="D180" i="2" s="1"/>
  <c r="AE164" i="1"/>
  <c r="F179" i="2" s="1"/>
  <c r="AB164" i="1"/>
  <c r="E179" i="2" s="1"/>
  <c r="AA164" i="1"/>
  <c r="D179" i="2" s="1"/>
  <c r="AE163" i="1"/>
  <c r="F178" i="2" s="1"/>
  <c r="AB163" i="1"/>
  <c r="E178" i="2" s="1"/>
  <c r="AA163" i="1"/>
  <c r="D178" i="2" s="1"/>
  <c r="AE162" i="1"/>
  <c r="F177" i="2" s="1"/>
  <c r="AB162" i="1"/>
  <c r="E177" i="2" s="1"/>
  <c r="AA162" i="1"/>
  <c r="D177" i="2" s="1"/>
  <c r="AE161" i="1"/>
  <c r="F176" i="2" s="1"/>
  <c r="AB161" i="1"/>
  <c r="E176" i="2" s="1"/>
  <c r="AA161" i="1"/>
  <c r="D176" i="2" s="1"/>
  <c r="AE160" i="1"/>
  <c r="F175" i="2" s="1"/>
  <c r="AB160" i="1"/>
  <c r="E175" i="2" s="1"/>
  <c r="AA160" i="1"/>
  <c r="D175" i="2" s="1"/>
  <c r="AE159" i="1"/>
  <c r="F174" i="2" s="1"/>
  <c r="AB159" i="1"/>
  <c r="E174" i="2" s="1"/>
  <c r="AA159" i="1"/>
  <c r="D174" i="2" s="1"/>
  <c r="AE158" i="1"/>
  <c r="F173" i="2" s="1"/>
  <c r="AB158" i="1"/>
  <c r="E173" i="2" s="1"/>
  <c r="AA158" i="1"/>
  <c r="D173" i="2" s="1"/>
  <c r="AE157" i="1"/>
  <c r="F172" i="2" s="1"/>
  <c r="AB157" i="1"/>
  <c r="E172" i="2" s="1"/>
  <c r="AA157" i="1"/>
  <c r="D172" i="2" s="1"/>
  <c r="AE156" i="1"/>
  <c r="F171" i="2" s="1"/>
  <c r="AB156" i="1"/>
  <c r="E171" i="2" s="1"/>
  <c r="AA156" i="1"/>
  <c r="D171" i="2" s="1"/>
  <c r="AE155" i="1"/>
  <c r="AB155" i="1"/>
  <c r="AA155" i="1"/>
  <c r="T180" i="2" l="1"/>
  <c r="S179" i="2"/>
  <c r="T178" i="2"/>
  <c r="S177" i="2"/>
  <c r="T176" i="2"/>
  <c r="S175" i="2"/>
  <c r="T174" i="2"/>
  <c r="S173" i="2"/>
  <c r="T172" i="2"/>
  <c r="AE166" i="1"/>
  <c r="F170" i="2"/>
  <c r="F181" i="2" s="1"/>
  <c r="AB166" i="1"/>
  <c r="E170" i="2"/>
  <c r="T170" i="2" s="1"/>
  <c r="AA166" i="1"/>
  <c r="D170" i="2"/>
  <c r="D181" i="2" s="1"/>
  <c r="P181" i="2"/>
  <c r="T171" i="2"/>
  <c r="O181" i="2"/>
  <c r="S172" i="2"/>
  <c r="T173" i="2"/>
  <c r="S174" i="2"/>
  <c r="T175" i="2"/>
  <c r="S176" i="2"/>
  <c r="T177" i="2"/>
  <c r="S178" i="2"/>
  <c r="T179" i="2"/>
  <c r="S180" i="2"/>
  <c r="S171" i="2"/>
  <c r="V157" i="2"/>
  <c r="V158" i="2"/>
  <c r="V159" i="2"/>
  <c r="V160" i="2"/>
  <c r="V161" i="2"/>
  <c r="V162" i="2"/>
  <c r="V163" i="2"/>
  <c r="V164" i="2"/>
  <c r="V165" i="2"/>
  <c r="V166" i="2"/>
  <c r="U157" i="2"/>
  <c r="U158" i="2"/>
  <c r="U159" i="2"/>
  <c r="U160" i="2"/>
  <c r="U161" i="2"/>
  <c r="U162" i="2"/>
  <c r="U163" i="2"/>
  <c r="U164" i="2"/>
  <c r="U165" i="2"/>
  <c r="U166" i="2"/>
  <c r="V156" i="2"/>
  <c r="U156" i="2"/>
  <c r="E181" i="2" l="1"/>
  <c r="S170" i="2"/>
  <c r="S181" i="2" s="1"/>
  <c r="T181" i="2"/>
  <c r="R167" i="2"/>
  <c r="Q167" i="2"/>
  <c r="L167" i="2"/>
  <c r="K167" i="2"/>
  <c r="J167" i="2"/>
  <c r="I167" i="2"/>
  <c r="H167" i="2"/>
  <c r="G167" i="2"/>
  <c r="P166" i="2"/>
  <c r="O166" i="2"/>
  <c r="P165" i="2"/>
  <c r="O165" i="2"/>
  <c r="P164" i="2"/>
  <c r="O164" i="2"/>
  <c r="P163" i="2"/>
  <c r="O163" i="2"/>
  <c r="P162" i="2"/>
  <c r="O162" i="2"/>
  <c r="P161" i="2"/>
  <c r="O161" i="2"/>
  <c r="P160" i="2"/>
  <c r="O160" i="2"/>
  <c r="P159" i="2"/>
  <c r="O159" i="2"/>
  <c r="P158" i="2"/>
  <c r="O158" i="2"/>
  <c r="P157" i="2"/>
  <c r="O157" i="2"/>
  <c r="P156" i="2"/>
  <c r="O156" i="2"/>
  <c r="AD153" i="1"/>
  <c r="AC153" i="1"/>
  <c r="Z153" i="1"/>
  <c r="Y153" i="1"/>
  <c r="X153" i="1"/>
  <c r="V153" i="1"/>
  <c r="U153" i="1"/>
  <c r="T153" i="1"/>
  <c r="R153" i="1"/>
  <c r="Q153" i="1"/>
  <c r="P153" i="1"/>
  <c r="N153" i="1"/>
  <c r="M153" i="1"/>
  <c r="L153" i="1"/>
  <c r="J153" i="1"/>
  <c r="I153" i="1"/>
  <c r="H153" i="1"/>
  <c r="F153" i="1"/>
  <c r="E153" i="1"/>
  <c r="D153" i="1"/>
  <c r="AE152" i="1"/>
  <c r="F166" i="2" s="1"/>
  <c r="AB152" i="1"/>
  <c r="E166" i="2" s="1"/>
  <c r="AA152" i="1"/>
  <c r="D166" i="2" s="1"/>
  <c r="AE151" i="1"/>
  <c r="F165" i="2" s="1"/>
  <c r="AB151" i="1"/>
  <c r="E165" i="2" s="1"/>
  <c r="AA151" i="1"/>
  <c r="D165" i="2" s="1"/>
  <c r="AE150" i="1"/>
  <c r="F164" i="2" s="1"/>
  <c r="AB150" i="1"/>
  <c r="E164" i="2" s="1"/>
  <c r="AA150" i="1"/>
  <c r="D164" i="2" s="1"/>
  <c r="AE149" i="1"/>
  <c r="F163" i="2" s="1"/>
  <c r="AB149" i="1"/>
  <c r="E163" i="2" s="1"/>
  <c r="AA149" i="1"/>
  <c r="D163" i="2" s="1"/>
  <c r="AE148" i="1"/>
  <c r="F162" i="2" s="1"/>
  <c r="AB148" i="1"/>
  <c r="E162" i="2" s="1"/>
  <c r="AA148" i="1"/>
  <c r="D162" i="2" s="1"/>
  <c r="AE147" i="1"/>
  <c r="F161" i="2" s="1"/>
  <c r="AB147" i="1"/>
  <c r="E161" i="2" s="1"/>
  <c r="AA147" i="1"/>
  <c r="D161" i="2" s="1"/>
  <c r="AE146" i="1"/>
  <c r="F160" i="2" s="1"/>
  <c r="AB146" i="1"/>
  <c r="E160" i="2" s="1"/>
  <c r="AA146" i="1"/>
  <c r="D160" i="2" s="1"/>
  <c r="AE145" i="1"/>
  <c r="F159" i="2" s="1"/>
  <c r="AB145" i="1"/>
  <c r="E159" i="2" s="1"/>
  <c r="AA145" i="1"/>
  <c r="D159" i="2" s="1"/>
  <c r="AE144" i="1"/>
  <c r="F158" i="2" s="1"/>
  <c r="AB144" i="1"/>
  <c r="E158" i="2" s="1"/>
  <c r="AA144" i="1"/>
  <c r="D158" i="2" s="1"/>
  <c r="AE143" i="1"/>
  <c r="F157" i="2" s="1"/>
  <c r="AB143" i="1"/>
  <c r="E157" i="2" s="1"/>
  <c r="AA143" i="1"/>
  <c r="D157" i="2" s="1"/>
  <c r="AE142" i="1"/>
  <c r="F156" i="2" s="1"/>
  <c r="AB142" i="1"/>
  <c r="E156" i="2" s="1"/>
  <c r="AA142" i="1"/>
  <c r="D156" i="2" s="1"/>
  <c r="P167" i="2" l="1"/>
  <c r="D167" i="2"/>
  <c r="E167" i="2"/>
  <c r="F167" i="2"/>
  <c r="U167" i="2"/>
  <c r="T161" i="2"/>
  <c r="T165" i="2"/>
  <c r="S164" i="2"/>
  <c r="T163" i="2"/>
  <c r="S162" i="2"/>
  <c r="S160" i="2"/>
  <c r="T159" i="2"/>
  <c r="S158" i="2"/>
  <c r="V167" i="2"/>
  <c r="AB153" i="1"/>
  <c r="T157" i="2"/>
  <c r="O167" i="2"/>
  <c r="S157" i="2"/>
  <c r="T158" i="2"/>
  <c r="S159" i="2"/>
  <c r="T160" i="2"/>
  <c r="S161" i="2"/>
  <c r="T162" i="2"/>
  <c r="S163" i="2"/>
  <c r="T164" i="2"/>
  <c r="S165" i="2"/>
  <c r="T166" i="2"/>
  <c r="T156" i="2"/>
  <c r="S156" i="2"/>
  <c r="AA153" i="1"/>
  <c r="S166" i="2" s="1"/>
  <c r="AE153" i="1"/>
  <c r="AE135" i="1"/>
  <c r="AB135" i="1"/>
  <c r="AA135" i="1"/>
  <c r="S167" i="2" l="1"/>
  <c r="T167" i="2"/>
  <c r="V143" i="2"/>
  <c r="V144" i="2"/>
  <c r="V145" i="2"/>
  <c r="V146" i="2"/>
  <c r="V147" i="2"/>
  <c r="V148" i="2"/>
  <c r="V149" i="2"/>
  <c r="V150" i="2"/>
  <c r="V151" i="2"/>
  <c r="V152" i="2"/>
  <c r="V142" i="2"/>
  <c r="F148" i="2"/>
  <c r="E148" i="2"/>
  <c r="D148" i="2"/>
  <c r="U143" i="2"/>
  <c r="U144" i="2"/>
  <c r="U145" i="2"/>
  <c r="U146" i="2"/>
  <c r="U147" i="2"/>
  <c r="U148" i="2"/>
  <c r="U149" i="2"/>
  <c r="U150" i="2"/>
  <c r="U151" i="2"/>
  <c r="U152" i="2"/>
  <c r="U142" i="2"/>
  <c r="L153" i="2"/>
  <c r="K153" i="2"/>
  <c r="J153" i="2"/>
  <c r="I153" i="2"/>
  <c r="H153" i="2"/>
  <c r="G153" i="2"/>
  <c r="P152" i="2"/>
  <c r="O152" i="2"/>
  <c r="P151" i="2"/>
  <c r="O151" i="2"/>
  <c r="P150" i="2"/>
  <c r="O150" i="2"/>
  <c r="P149" i="2"/>
  <c r="O149" i="2"/>
  <c r="P148" i="2"/>
  <c r="O148" i="2"/>
  <c r="P147" i="2"/>
  <c r="O147" i="2"/>
  <c r="P146" i="2"/>
  <c r="O146" i="2"/>
  <c r="P145" i="2"/>
  <c r="O145" i="2"/>
  <c r="P144" i="2"/>
  <c r="O144" i="2"/>
  <c r="P143" i="2"/>
  <c r="O143" i="2"/>
  <c r="R153" i="2"/>
  <c r="P142" i="2"/>
  <c r="O142" i="2"/>
  <c r="Z140" i="1"/>
  <c r="Y140" i="1"/>
  <c r="X140" i="1"/>
  <c r="V140" i="1"/>
  <c r="R140" i="1"/>
  <c r="Q140" i="1"/>
  <c r="P140" i="1"/>
  <c r="N140" i="1"/>
  <c r="M140" i="1"/>
  <c r="L140" i="1"/>
  <c r="J140" i="1"/>
  <c r="I140" i="1"/>
  <c r="H140" i="1"/>
  <c r="F140" i="1"/>
  <c r="E140" i="1"/>
  <c r="D140" i="1"/>
  <c r="AE139" i="1"/>
  <c r="F152" i="2" s="1"/>
  <c r="AB139" i="1"/>
  <c r="E152" i="2" s="1"/>
  <c r="AA139" i="1"/>
  <c r="D152" i="2" s="1"/>
  <c r="AE138" i="1"/>
  <c r="F151" i="2" s="1"/>
  <c r="AB138" i="1"/>
  <c r="E151" i="2" s="1"/>
  <c r="AA138" i="1"/>
  <c r="D151" i="2" s="1"/>
  <c r="AE137" i="1"/>
  <c r="F150" i="2" s="1"/>
  <c r="AB137" i="1"/>
  <c r="E150" i="2" s="1"/>
  <c r="AA137" i="1"/>
  <c r="D150" i="2" s="1"/>
  <c r="AE136" i="1"/>
  <c r="F149" i="2" s="1"/>
  <c r="AB136" i="1"/>
  <c r="E149" i="2" s="1"/>
  <c r="AA136" i="1"/>
  <c r="D149" i="2" s="1"/>
  <c r="AE134" i="1"/>
  <c r="F147" i="2" s="1"/>
  <c r="AB134" i="1"/>
  <c r="E147" i="2" s="1"/>
  <c r="AA134" i="1"/>
  <c r="D147" i="2" s="1"/>
  <c r="AE133" i="1"/>
  <c r="F146" i="2" s="1"/>
  <c r="AB133" i="1"/>
  <c r="E146" i="2" s="1"/>
  <c r="AA133" i="1"/>
  <c r="D146" i="2" s="1"/>
  <c r="S146" i="2" s="1"/>
  <c r="AE132" i="1"/>
  <c r="F145" i="2" s="1"/>
  <c r="U140" i="1"/>
  <c r="T140" i="1"/>
  <c r="AE131" i="1"/>
  <c r="F144" i="2" s="1"/>
  <c r="AB131" i="1"/>
  <c r="E144" i="2" s="1"/>
  <c r="AA131" i="1"/>
  <c r="D144" i="2" s="1"/>
  <c r="S144" i="2" s="1"/>
  <c r="AE130" i="1"/>
  <c r="F143" i="2" s="1"/>
  <c r="AB130" i="1"/>
  <c r="E143" i="2" s="1"/>
  <c r="AA130" i="1"/>
  <c r="D143" i="2" s="1"/>
  <c r="AE129" i="1"/>
  <c r="F142" i="2" s="1"/>
  <c r="AD140" i="1"/>
  <c r="AC140" i="1"/>
  <c r="AB129" i="1"/>
  <c r="E142" i="2" s="1"/>
  <c r="AA129" i="1"/>
  <c r="D142" i="2" s="1"/>
  <c r="S152" i="2" l="1"/>
  <c r="S148" i="2"/>
  <c r="T143" i="2"/>
  <c r="S150" i="2"/>
  <c r="T147" i="2"/>
  <c r="T149" i="2"/>
  <c r="T151" i="2"/>
  <c r="V153" i="2"/>
  <c r="P153" i="2"/>
  <c r="O153" i="2"/>
  <c r="S143" i="2"/>
  <c r="T144" i="2"/>
  <c r="T146" i="2"/>
  <c r="S147" i="2"/>
  <c r="T148" i="2"/>
  <c r="S149" i="2"/>
  <c r="T150" i="2"/>
  <c r="S151" i="2"/>
  <c r="T152" i="2"/>
  <c r="T142" i="2"/>
  <c r="Q153" i="2"/>
  <c r="U153" i="2" s="1"/>
  <c r="S142" i="2"/>
  <c r="AE140" i="1"/>
  <c r="F153" i="2" s="1"/>
  <c r="AA132" i="1"/>
  <c r="AB132" i="1"/>
  <c r="R138" i="2"/>
  <c r="Q138" i="2"/>
  <c r="AD125" i="1"/>
  <c r="AC125" i="1"/>
  <c r="R137" i="2"/>
  <c r="Q137" i="2"/>
  <c r="AD124" i="1"/>
  <c r="AC124" i="1"/>
  <c r="R136" i="2"/>
  <c r="Q136" i="2"/>
  <c r="AD123" i="1"/>
  <c r="AC123" i="1"/>
  <c r="R135" i="2"/>
  <c r="Q135" i="2"/>
  <c r="AD122" i="1"/>
  <c r="AC122" i="1"/>
  <c r="R134" i="2"/>
  <c r="Q134" i="2"/>
  <c r="AD121" i="1"/>
  <c r="AC121" i="1"/>
  <c r="R133" i="2"/>
  <c r="Q133" i="2"/>
  <c r="AD120" i="1"/>
  <c r="AC120" i="1"/>
  <c r="AB140" i="1" l="1"/>
  <c r="E153" i="2" s="1"/>
  <c r="E145" i="2"/>
  <c r="T145" i="2" s="1"/>
  <c r="T153" i="2" s="1"/>
  <c r="AA140" i="1"/>
  <c r="D153" i="2" s="1"/>
  <c r="D145" i="2"/>
  <c r="S145" i="2" s="1"/>
  <c r="S153" i="2" s="1"/>
  <c r="R132" i="2"/>
  <c r="Q132" i="2"/>
  <c r="AD119" i="1"/>
  <c r="AC119" i="1"/>
  <c r="R131" i="2" l="1"/>
  <c r="Q131" i="2"/>
  <c r="AD118" i="1"/>
  <c r="AC118" i="1"/>
  <c r="U118" i="1"/>
  <c r="T118" i="1"/>
  <c r="R130" i="2"/>
  <c r="Q130" i="2"/>
  <c r="AD117" i="1"/>
  <c r="AC117" i="1"/>
  <c r="R129" i="2" l="1"/>
  <c r="Q129" i="2"/>
  <c r="AD116" i="1"/>
  <c r="AC116" i="1"/>
  <c r="U138" i="2"/>
  <c r="V138" i="2"/>
  <c r="U130" i="2"/>
  <c r="V130" i="2"/>
  <c r="U131" i="2"/>
  <c r="V131" i="2"/>
  <c r="U132" i="2"/>
  <c r="V132" i="2"/>
  <c r="U133" i="2"/>
  <c r="V133" i="2"/>
  <c r="U134" i="2"/>
  <c r="V134" i="2"/>
  <c r="U135" i="2"/>
  <c r="V135" i="2"/>
  <c r="U136" i="2"/>
  <c r="V136" i="2"/>
  <c r="U137" i="2"/>
  <c r="V137" i="2"/>
  <c r="AD115" i="1"/>
  <c r="AC115" i="1"/>
  <c r="R128" i="2"/>
  <c r="Q128" i="2"/>
  <c r="U128" i="2" l="1"/>
  <c r="V128" i="2"/>
  <c r="U129" i="2"/>
  <c r="V129" i="2"/>
  <c r="L139" i="2"/>
  <c r="K139" i="2"/>
  <c r="J139" i="2"/>
  <c r="I139" i="2"/>
  <c r="H139" i="2"/>
  <c r="G139" i="2"/>
  <c r="P138" i="2"/>
  <c r="O138" i="2"/>
  <c r="P137" i="2"/>
  <c r="O137" i="2"/>
  <c r="P136" i="2"/>
  <c r="O136" i="2"/>
  <c r="P135" i="2"/>
  <c r="O135" i="2"/>
  <c r="P134" i="2"/>
  <c r="O134" i="2"/>
  <c r="P133" i="2"/>
  <c r="O133" i="2"/>
  <c r="P132" i="2"/>
  <c r="O132" i="2"/>
  <c r="P131" i="2"/>
  <c r="O131" i="2"/>
  <c r="P130" i="2"/>
  <c r="O130" i="2"/>
  <c r="P129" i="2"/>
  <c r="O129" i="2"/>
  <c r="R139" i="2"/>
  <c r="P128" i="2"/>
  <c r="O128" i="2"/>
  <c r="Z126" i="1"/>
  <c r="Y126" i="1"/>
  <c r="X126" i="1"/>
  <c r="V126" i="1"/>
  <c r="U126" i="1"/>
  <c r="T126" i="1"/>
  <c r="R126" i="1"/>
  <c r="Q126" i="1"/>
  <c r="P126" i="1"/>
  <c r="N126" i="1"/>
  <c r="M126" i="1"/>
  <c r="L126" i="1"/>
  <c r="J126" i="1"/>
  <c r="I126" i="1"/>
  <c r="H126" i="1"/>
  <c r="F126" i="1"/>
  <c r="E126" i="1"/>
  <c r="D126" i="1"/>
  <c r="AE125" i="1"/>
  <c r="F138" i="2" s="1"/>
  <c r="AB125" i="1"/>
  <c r="E138" i="2" s="1"/>
  <c r="AA125" i="1"/>
  <c r="D138" i="2" s="1"/>
  <c r="AE124" i="1"/>
  <c r="F137" i="2" s="1"/>
  <c r="AB124" i="1"/>
  <c r="E137" i="2" s="1"/>
  <c r="T137" i="2" s="1"/>
  <c r="AA124" i="1"/>
  <c r="D137" i="2" s="1"/>
  <c r="AE123" i="1"/>
  <c r="F136" i="2" s="1"/>
  <c r="AB123" i="1"/>
  <c r="E136" i="2" s="1"/>
  <c r="AA123" i="1"/>
  <c r="D136" i="2" s="1"/>
  <c r="AE122" i="1"/>
  <c r="F135" i="2" s="1"/>
  <c r="AB122" i="1"/>
  <c r="E135" i="2" s="1"/>
  <c r="AA122" i="1"/>
  <c r="D135" i="2" s="1"/>
  <c r="AE121" i="1"/>
  <c r="F134" i="2" s="1"/>
  <c r="AB121" i="1"/>
  <c r="E134" i="2" s="1"/>
  <c r="AA121" i="1"/>
  <c r="D134" i="2" s="1"/>
  <c r="AE120" i="1"/>
  <c r="F133" i="2" s="1"/>
  <c r="AB120" i="1"/>
  <c r="E133" i="2" s="1"/>
  <c r="T133" i="2" s="1"/>
  <c r="AA120" i="1"/>
  <c r="D133" i="2" s="1"/>
  <c r="AE119" i="1"/>
  <c r="F132" i="2" s="1"/>
  <c r="AB119" i="1"/>
  <c r="E132" i="2" s="1"/>
  <c r="AA119" i="1"/>
  <c r="D132" i="2" s="1"/>
  <c r="AE118" i="1"/>
  <c r="F131" i="2" s="1"/>
  <c r="AB118" i="1"/>
  <c r="E131" i="2" s="1"/>
  <c r="AA118" i="1"/>
  <c r="D131" i="2" s="1"/>
  <c r="AE117" i="1"/>
  <c r="F130" i="2" s="1"/>
  <c r="AD126" i="1"/>
  <c r="AC126" i="1"/>
  <c r="AB117" i="1"/>
  <c r="E130" i="2" s="1"/>
  <c r="AA117" i="1"/>
  <c r="D130" i="2" s="1"/>
  <c r="AE116" i="1"/>
  <c r="F129" i="2" s="1"/>
  <c r="AB116" i="1"/>
  <c r="E129" i="2" s="1"/>
  <c r="T129" i="2" s="1"/>
  <c r="AA116" i="1"/>
  <c r="D129" i="2" s="1"/>
  <c r="AE115" i="1"/>
  <c r="AB115" i="1"/>
  <c r="E128" i="2" s="1"/>
  <c r="AA115" i="1"/>
  <c r="T131" i="2" l="1"/>
  <c r="T135" i="2"/>
  <c r="S136" i="2"/>
  <c r="S138" i="2"/>
  <c r="V139" i="2"/>
  <c r="S134" i="2"/>
  <c r="P139" i="2"/>
  <c r="S132" i="2"/>
  <c r="S131" i="2"/>
  <c r="S133" i="2"/>
  <c r="S135" i="2"/>
  <c r="S137" i="2"/>
  <c r="E139" i="2"/>
  <c r="AA126" i="1"/>
  <c r="AE126" i="1"/>
  <c r="S129" i="2"/>
  <c r="F128" i="2"/>
  <c r="F139" i="2" s="1"/>
  <c r="D128" i="2"/>
  <c r="D139" i="2" s="1"/>
  <c r="T132" i="2"/>
  <c r="T134" i="2"/>
  <c r="T138" i="2"/>
  <c r="T130" i="2"/>
  <c r="T136" i="2"/>
  <c r="S130" i="2"/>
  <c r="O139" i="2"/>
  <c r="T128" i="2"/>
  <c r="Q139" i="2"/>
  <c r="U139" i="2" s="1"/>
  <c r="AB126" i="1"/>
  <c r="E7" i="8"/>
  <c r="F7" i="8" s="1"/>
  <c r="G7" i="8" s="1"/>
  <c r="D7" i="8"/>
  <c r="B7" i="8"/>
  <c r="H7" i="7"/>
  <c r="N7" i="7"/>
  <c r="U7" i="7"/>
  <c r="V7" i="7"/>
  <c r="N8" i="7"/>
  <c r="U8" i="7"/>
  <c r="V8" i="7" s="1"/>
  <c r="N9" i="7"/>
  <c r="U9" i="7"/>
  <c r="V9" i="7" s="1"/>
  <c r="N10" i="7"/>
  <c r="U10" i="7"/>
  <c r="N11" i="7"/>
  <c r="U11" i="7"/>
  <c r="V11" i="7"/>
  <c r="N12" i="7"/>
  <c r="U12" i="7"/>
  <c r="V12" i="7" s="1"/>
  <c r="N13" i="7"/>
  <c r="U13" i="7"/>
  <c r="V13" i="7" s="1"/>
  <c r="N14" i="7"/>
  <c r="U14" i="7"/>
  <c r="N15" i="7"/>
  <c r="U15" i="7"/>
  <c r="V15" i="7"/>
  <c r="N16" i="7"/>
  <c r="U16" i="7"/>
  <c r="V16" i="7" s="1"/>
  <c r="N17" i="7"/>
  <c r="U17" i="7"/>
  <c r="V17" i="7" s="1"/>
  <c r="H18" i="7"/>
  <c r="N18" i="7" s="1"/>
  <c r="I18" i="7"/>
  <c r="J18" i="7"/>
  <c r="K18" i="7"/>
  <c r="L18" i="7"/>
  <c r="O18" i="7"/>
  <c r="U18" i="7" s="1"/>
  <c r="P18" i="7"/>
  <c r="Q18" i="7"/>
  <c r="R18" i="7"/>
  <c r="S18" i="7"/>
  <c r="V19" i="7"/>
  <c r="V20" i="7"/>
  <c r="V21" i="7"/>
  <c r="H22" i="7"/>
  <c r="I22" i="7"/>
  <c r="J22" i="7"/>
  <c r="K22" i="7"/>
  <c r="L22" i="7"/>
  <c r="N22" i="7"/>
  <c r="O22" i="7"/>
  <c r="P22" i="7"/>
  <c r="Q22" i="7"/>
  <c r="R22" i="7"/>
  <c r="S22" i="7"/>
  <c r="U22" i="7"/>
  <c r="N23" i="7"/>
  <c r="U23" i="7"/>
  <c r="V23" i="7" s="1"/>
  <c r="N24" i="7"/>
  <c r="U24" i="7"/>
  <c r="N25" i="7"/>
  <c r="V25" i="7" s="1"/>
  <c r="U25" i="7"/>
  <c r="N26" i="7"/>
  <c r="U26" i="7"/>
  <c r="N27" i="7"/>
  <c r="V27" i="7" s="1"/>
  <c r="U27" i="7"/>
  <c r="N28" i="7"/>
  <c r="U28" i="7"/>
  <c r="N29" i="7"/>
  <c r="U29" i="7"/>
  <c r="V29" i="7"/>
  <c r="N30" i="7"/>
  <c r="U30" i="7"/>
  <c r="V30" i="7" s="1"/>
  <c r="N31" i="7"/>
  <c r="U31" i="7"/>
  <c r="N32" i="7"/>
  <c r="U32" i="7"/>
  <c r="V32" i="7" s="1"/>
  <c r="N33" i="7"/>
  <c r="U33" i="7"/>
  <c r="V33" i="7" s="1"/>
  <c r="H34" i="7"/>
  <c r="I34" i="7"/>
  <c r="J34" i="7"/>
  <c r="K34" i="7"/>
  <c r="L34" i="7"/>
  <c r="M34" i="7"/>
  <c r="O34" i="7"/>
  <c r="P34" i="7"/>
  <c r="Q34" i="7"/>
  <c r="R34" i="7"/>
  <c r="S34" i="7"/>
  <c r="T34" i="7"/>
  <c r="U34" i="7"/>
  <c r="N35" i="7"/>
  <c r="U35" i="7"/>
  <c r="V35" i="7" s="1"/>
  <c r="N36" i="7"/>
  <c r="U36" i="7"/>
  <c r="N37" i="7"/>
  <c r="V37" i="7" s="1"/>
  <c r="U37" i="7"/>
  <c r="H38" i="7"/>
  <c r="N38" i="7" s="1"/>
  <c r="I38" i="7"/>
  <c r="J38" i="7"/>
  <c r="K38" i="7"/>
  <c r="L38" i="7"/>
  <c r="O38" i="7"/>
  <c r="U38" i="7" s="1"/>
  <c r="V38" i="7" s="1"/>
  <c r="P38" i="7"/>
  <c r="Q38" i="7"/>
  <c r="R38" i="7"/>
  <c r="S38" i="7"/>
  <c r="N39" i="7"/>
  <c r="U39" i="7"/>
  <c r="N40" i="7"/>
  <c r="U40" i="7"/>
  <c r="N41" i="7"/>
  <c r="V41" i="7" s="1"/>
  <c r="U41" i="7"/>
  <c r="N42" i="7"/>
  <c r="U42" i="7"/>
  <c r="N43" i="7"/>
  <c r="U43" i="7"/>
  <c r="V43" i="7"/>
  <c r="N44" i="7"/>
  <c r="U44" i="7"/>
  <c r="V44" i="7" s="1"/>
  <c r="N45" i="7"/>
  <c r="U45" i="7"/>
  <c r="N46" i="7"/>
  <c r="U46" i="7"/>
  <c r="V46" i="7" s="1"/>
  <c r="N47" i="7"/>
  <c r="U47" i="7"/>
  <c r="V47" i="7" s="1"/>
  <c r="N48" i="7"/>
  <c r="U48" i="7"/>
  <c r="N49" i="7"/>
  <c r="V49" i="7" s="1"/>
  <c r="U49" i="7"/>
  <c r="H50" i="7"/>
  <c r="I50" i="7"/>
  <c r="J50" i="7"/>
  <c r="K50" i="7"/>
  <c r="L50" i="7"/>
  <c r="M50" i="7"/>
  <c r="O50" i="7"/>
  <c r="P50" i="7"/>
  <c r="Q50" i="7"/>
  <c r="R50" i="7"/>
  <c r="S50" i="7"/>
  <c r="T50" i="7"/>
  <c r="U50" i="7"/>
  <c r="N51" i="7"/>
  <c r="U51" i="7"/>
  <c r="V51" i="7" s="1"/>
  <c r="N52" i="7"/>
  <c r="U52" i="7"/>
  <c r="N53" i="7"/>
  <c r="U53" i="7"/>
  <c r="V53" i="7"/>
  <c r="H54" i="7"/>
  <c r="I54" i="7"/>
  <c r="J54" i="7"/>
  <c r="K54" i="7"/>
  <c r="L54" i="7"/>
  <c r="N54" i="7"/>
  <c r="O54" i="7"/>
  <c r="P54" i="7"/>
  <c r="Q54" i="7"/>
  <c r="R54" i="7"/>
  <c r="U54" i="7" s="1"/>
  <c r="V54" i="7" s="1"/>
  <c r="S54" i="7"/>
  <c r="S128" i="2" l="1"/>
  <c r="V18" i="7"/>
  <c r="N50" i="7"/>
  <c r="V22" i="7"/>
  <c r="V52" i="7"/>
  <c r="V48" i="7"/>
  <c r="V45" i="7"/>
  <c r="V42" i="7"/>
  <c r="V40" i="7"/>
  <c r="V36" i="7"/>
  <c r="V31" i="7"/>
  <c r="V28" i="7"/>
  <c r="V26" i="7"/>
  <c r="V34" i="7" s="1"/>
  <c r="V24" i="7"/>
  <c r="N34" i="7"/>
  <c r="V14" i="7"/>
  <c r="V10" i="7"/>
  <c r="S139" i="2"/>
  <c r="T139" i="2"/>
  <c r="V39" i="7"/>
  <c r="V50" i="7" s="1"/>
  <c r="AD112" i="1" l="1"/>
  <c r="AC112" i="1"/>
  <c r="U124" i="2" s="1"/>
  <c r="AD111" i="1"/>
  <c r="AC111" i="1"/>
  <c r="AD110" i="1"/>
  <c r="V122" i="2" s="1"/>
  <c r="AC110" i="1"/>
  <c r="U122" i="2" s="1"/>
  <c r="AD109" i="1"/>
  <c r="V121" i="2" s="1"/>
  <c r="AC109" i="1"/>
  <c r="U121" i="2" s="1"/>
  <c r="AB108" i="1"/>
  <c r="AA108" i="1"/>
  <c r="AD108" i="1"/>
  <c r="V120" i="2" s="1"/>
  <c r="AC108" i="1"/>
  <c r="U120" i="2" s="1"/>
  <c r="AE108" i="1"/>
  <c r="AD107" i="1"/>
  <c r="V119" i="2" s="1"/>
  <c r="AC107" i="1"/>
  <c r="U119" i="2" s="1"/>
  <c r="AD106" i="1"/>
  <c r="V118" i="2" s="1"/>
  <c r="AC106" i="1"/>
  <c r="U118" i="2" s="1"/>
  <c r="AD105" i="1"/>
  <c r="AC105" i="1"/>
  <c r="AD104" i="1"/>
  <c r="AC104" i="1"/>
  <c r="U116" i="2" s="1"/>
  <c r="R115" i="2"/>
  <c r="V115" i="2" s="1"/>
  <c r="Q115" i="2"/>
  <c r="U115" i="2" s="1"/>
  <c r="V116" i="2"/>
  <c r="V117" i="2"/>
  <c r="V123" i="2"/>
  <c r="V124" i="2"/>
  <c r="U117" i="2"/>
  <c r="U123" i="2"/>
  <c r="R114" i="2"/>
  <c r="V114" i="2" s="1"/>
  <c r="Q114" i="2"/>
  <c r="U114" i="2" s="1"/>
  <c r="U125" i="2" l="1"/>
  <c r="V125" i="2"/>
  <c r="L125" i="2"/>
  <c r="K125" i="2"/>
  <c r="J125" i="2"/>
  <c r="I125" i="2"/>
  <c r="H125" i="2"/>
  <c r="G125" i="2"/>
  <c r="P124" i="2"/>
  <c r="O124" i="2"/>
  <c r="P123" i="2"/>
  <c r="O123" i="2"/>
  <c r="P122" i="2"/>
  <c r="O122" i="2"/>
  <c r="P121" i="2"/>
  <c r="O121" i="2"/>
  <c r="P120" i="2"/>
  <c r="O120" i="2"/>
  <c r="P119" i="2"/>
  <c r="O119" i="2"/>
  <c r="P118" i="2"/>
  <c r="O118" i="2"/>
  <c r="R125" i="2"/>
  <c r="P117" i="2"/>
  <c r="O117" i="2"/>
  <c r="P116" i="2"/>
  <c r="O116" i="2"/>
  <c r="P115" i="2"/>
  <c r="O115" i="2"/>
  <c r="P114" i="2"/>
  <c r="O114" i="2"/>
  <c r="Z113" i="1"/>
  <c r="Y113" i="1"/>
  <c r="X113" i="1"/>
  <c r="V113" i="1"/>
  <c r="U113" i="1"/>
  <c r="T113" i="1"/>
  <c r="R113" i="1"/>
  <c r="Q113" i="1"/>
  <c r="P113" i="1"/>
  <c r="N113" i="1"/>
  <c r="M113" i="1"/>
  <c r="L113" i="1"/>
  <c r="J113" i="1"/>
  <c r="I113" i="1"/>
  <c r="H113" i="1"/>
  <c r="F113" i="1"/>
  <c r="E113" i="1"/>
  <c r="D113" i="1"/>
  <c r="AE112" i="1"/>
  <c r="F124" i="2" s="1"/>
  <c r="AB112" i="1"/>
  <c r="E124" i="2" s="1"/>
  <c r="AA112" i="1"/>
  <c r="D124" i="2" s="1"/>
  <c r="AE111" i="1"/>
  <c r="F123" i="2" s="1"/>
  <c r="AB111" i="1"/>
  <c r="E123" i="2" s="1"/>
  <c r="AA111" i="1"/>
  <c r="D123" i="2" s="1"/>
  <c r="AE110" i="1"/>
  <c r="F122" i="2" s="1"/>
  <c r="AB110" i="1"/>
  <c r="E122" i="2" s="1"/>
  <c r="AA110" i="1"/>
  <c r="D122" i="2" s="1"/>
  <c r="AE109" i="1"/>
  <c r="F121" i="2" s="1"/>
  <c r="AB109" i="1"/>
  <c r="E121" i="2" s="1"/>
  <c r="AA109" i="1"/>
  <c r="D121" i="2" s="1"/>
  <c r="F120" i="2"/>
  <c r="E120" i="2"/>
  <c r="D120" i="2"/>
  <c r="S120" i="2" s="1"/>
  <c r="AE107" i="1"/>
  <c r="F119" i="2" s="1"/>
  <c r="AB107" i="1"/>
  <c r="E119" i="2" s="1"/>
  <c r="AA107" i="1"/>
  <c r="D119" i="2" s="1"/>
  <c r="AE106" i="1"/>
  <c r="F118" i="2" s="1"/>
  <c r="AB106" i="1"/>
  <c r="E118" i="2" s="1"/>
  <c r="AA106" i="1"/>
  <c r="D118" i="2" s="1"/>
  <c r="AE105" i="1"/>
  <c r="F117" i="2" s="1"/>
  <c r="AB105" i="1"/>
  <c r="E117" i="2" s="1"/>
  <c r="AA105" i="1"/>
  <c r="D117" i="2" s="1"/>
  <c r="AE104" i="1"/>
  <c r="F116" i="2" s="1"/>
  <c r="AB104" i="1"/>
  <c r="E116" i="2" s="1"/>
  <c r="AA104" i="1"/>
  <c r="D116" i="2" s="1"/>
  <c r="AE103" i="1"/>
  <c r="F115" i="2" s="1"/>
  <c r="AB103" i="1"/>
  <c r="E115" i="2" s="1"/>
  <c r="T115" i="2" s="1"/>
  <c r="AA103" i="1"/>
  <c r="D115" i="2" s="1"/>
  <c r="AE102" i="1"/>
  <c r="F114" i="2" s="1"/>
  <c r="AD113" i="1"/>
  <c r="AC113" i="1"/>
  <c r="AB102" i="1"/>
  <c r="E114" i="2" s="1"/>
  <c r="AA102" i="1"/>
  <c r="D114" i="2" s="1"/>
  <c r="S122" i="2" l="1"/>
  <c r="S116" i="2"/>
  <c r="T119" i="2"/>
  <c r="D125" i="2"/>
  <c r="T117" i="2"/>
  <c r="E125" i="2"/>
  <c r="T123" i="2"/>
  <c r="S123" i="2"/>
  <c r="T122" i="2"/>
  <c r="T121" i="2"/>
  <c r="S121" i="2"/>
  <c r="T120" i="2"/>
  <c r="S119" i="2"/>
  <c r="S118" i="2"/>
  <c r="T118" i="2"/>
  <c r="S117" i="2"/>
  <c r="P125" i="2"/>
  <c r="T116" i="2"/>
  <c r="S115" i="2"/>
  <c r="AB113" i="1"/>
  <c r="S114" i="2"/>
  <c r="T124" i="2"/>
  <c r="O125" i="2"/>
  <c r="T114" i="2"/>
  <c r="Q125" i="2"/>
  <c r="AA113" i="1"/>
  <c r="S124" i="2" s="1"/>
  <c r="AE113" i="1"/>
  <c r="F125" i="2" s="1"/>
  <c r="T125" i="2" l="1"/>
  <c r="S125" i="2"/>
  <c r="Y100" i="1"/>
  <c r="Z100" i="1"/>
  <c r="X100" i="1"/>
  <c r="Q110" i="2"/>
  <c r="AD99" i="1"/>
  <c r="AC99" i="1"/>
  <c r="AD98" i="1" l="1"/>
  <c r="AC98" i="1"/>
  <c r="AD97" i="1"/>
  <c r="AC97" i="1"/>
  <c r="R107" i="2"/>
  <c r="Q107" i="2"/>
  <c r="AD96" i="1"/>
  <c r="AC96" i="1"/>
  <c r="AD95" i="1"/>
  <c r="AC95" i="1"/>
  <c r="AD94" i="1"/>
  <c r="AC94" i="1"/>
  <c r="AD93" i="1"/>
  <c r="AC93" i="1"/>
  <c r="R103" i="2"/>
  <c r="Q103" i="2"/>
  <c r="AD92" i="1"/>
  <c r="AC92" i="1"/>
  <c r="AC91" i="1"/>
  <c r="AD91" i="1"/>
  <c r="U102" i="2" l="1"/>
  <c r="V102" i="2"/>
  <c r="V103" i="2"/>
  <c r="V104" i="2"/>
  <c r="V105" i="2"/>
  <c r="V106" i="2"/>
  <c r="V107" i="2"/>
  <c r="V108" i="2"/>
  <c r="V109" i="2"/>
  <c r="V110" i="2"/>
  <c r="U103" i="2"/>
  <c r="U104" i="2"/>
  <c r="U105" i="2"/>
  <c r="U106" i="2"/>
  <c r="U107" i="2"/>
  <c r="U108" i="2"/>
  <c r="U109" i="2"/>
  <c r="U110" i="2"/>
  <c r="AD90" i="1"/>
  <c r="V101" i="2" s="1"/>
  <c r="AC90" i="1"/>
  <c r="U101" i="2" s="1"/>
  <c r="AD89" i="1"/>
  <c r="V100" i="2" s="1"/>
  <c r="AC89" i="1"/>
  <c r="U100" i="2" s="1"/>
  <c r="AD100" i="1"/>
  <c r="AC100" i="1"/>
  <c r="V100" i="1"/>
  <c r="U100" i="1"/>
  <c r="T100" i="1"/>
  <c r="R100" i="1"/>
  <c r="Q100" i="1"/>
  <c r="P100" i="1"/>
  <c r="N100" i="1"/>
  <c r="M100" i="1"/>
  <c r="L100" i="1"/>
  <c r="J100" i="1"/>
  <c r="I100" i="1"/>
  <c r="H100" i="1"/>
  <c r="F100" i="1"/>
  <c r="E100" i="1"/>
  <c r="D100" i="1"/>
  <c r="AE99" i="1"/>
  <c r="F110" i="2" s="1"/>
  <c r="AB99" i="1"/>
  <c r="E110" i="2" s="1"/>
  <c r="AA99" i="1"/>
  <c r="D110" i="2" s="1"/>
  <c r="AE98" i="1"/>
  <c r="F109" i="2" s="1"/>
  <c r="AB98" i="1"/>
  <c r="E109" i="2" s="1"/>
  <c r="AA98" i="1"/>
  <c r="D109" i="2" s="1"/>
  <c r="AE97" i="1"/>
  <c r="F108" i="2" s="1"/>
  <c r="AB97" i="1"/>
  <c r="E108" i="2" s="1"/>
  <c r="AA97" i="1"/>
  <c r="D108" i="2" s="1"/>
  <c r="AE96" i="1"/>
  <c r="F107" i="2" s="1"/>
  <c r="AB96" i="1"/>
  <c r="E107" i="2" s="1"/>
  <c r="AA96" i="1"/>
  <c r="D107" i="2" s="1"/>
  <c r="AE95" i="1"/>
  <c r="F106" i="2" s="1"/>
  <c r="AB95" i="1"/>
  <c r="E106" i="2" s="1"/>
  <c r="AA95" i="1"/>
  <c r="D106" i="2" s="1"/>
  <c r="AE94" i="1"/>
  <c r="F105" i="2" s="1"/>
  <c r="AB94" i="1"/>
  <c r="E105" i="2" s="1"/>
  <c r="AA94" i="1"/>
  <c r="D105" i="2" s="1"/>
  <c r="AE93" i="1"/>
  <c r="F104" i="2" s="1"/>
  <c r="AB93" i="1"/>
  <c r="E104" i="2" s="1"/>
  <c r="AA93" i="1"/>
  <c r="D104" i="2" s="1"/>
  <c r="AE92" i="1"/>
  <c r="F103" i="2" s="1"/>
  <c r="AB92" i="1"/>
  <c r="E103" i="2" s="1"/>
  <c r="AA92" i="1"/>
  <c r="D103" i="2" s="1"/>
  <c r="AE91" i="1"/>
  <c r="F102" i="2" s="1"/>
  <c r="AB91" i="1"/>
  <c r="E102" i="2" s="1"/>
  <c r="AA91" i="1"/>
  <c r="D102" i="2" s="1"/>
  <c r="AE90" i="1"/>
  <c r="F101" i="2" s="1"/>
  <c r="AB90" i="1"/>
  <c r="E101" i="2" s="1"/>
  <c r="AA90" i="1"/>
  <c r="D101" i="2" s="1"/>
  <c r="AE89" i="1"/>
  <c r="F100" i="2" s="1"/>
  <c r="AB89" i="1"/>
  <c r="E100" i="2" s="1"/>
  <c r="AA89" i="1"/>
  <c r="D100" i="2" s="1"/>
  <c r="R111" i="2"/>
  <c r="Q111" i="2"/>
  <c r="L111" i="2"/>
  <c r="K111" i="2"/>
  <c r="J111" i="2"/>
  <c r="I111" i="2"/>
  <c r="H111" i="2"/>
  <c r="G111" i="2"/>
  <c r="P110" i="2"/>
  <c r="O110" i="2"/>
  <c r="P109" i="2"/>
  <c r="O109" i="2"/>
  <c r="P108" i="2"/>
  <c r="O108" i="2"/>
  <c r="P107" i="2"/>
  <c r="O107" i="2"/>
  <c r="P106" i="2"/>
  <c r="O106" i="2"/>
  <c r="P105" i="2"/>
  <c r="O105" i="2"/>
  <c r="P104" i="2"/>
  <c r="O104" i="2"/>
  <c r="P103" i="2"/>
  <c r="O103" i="2"/>
  <c r="P102" i="2"/>
  <c r="O102" i="2"/>
  <c r="P101" i="2"/>
  <c r="O101" i="2"/>
  <c r="P100" i="2"/>
  <c r="O100" i="2"/>
  <c r="F111" i="2" l="1"/>
  <c r="P111" i="2"/>
  <c r="V111" i="2"/>
  <c r="U111" i="2"/>
  <c r="AB100" i="1"/>
  <c r="E111" i="2" s="1"/>
  <c r="AA100" i="1"/>
  <c r="D111" i="2" s="1"/>
  <c r="AE100" i="1"/>
  <c r="O111" i="2"/>
  <c r="S101" i="2"/>
  <c r="T101" i="2"/>
  <c r="T102" i="2"/>
  <c r="S102" i="2"/>
  <c r="S103" i="2"/>
  <c r="T103" i="2"/>
  <c r="T104" i="2"/>
  <c r="S104" i="2"/>
  <c r="S105" i="2"/>
  <c r="T105" i="2"/>
  <c r="T106" i="2"/>
  <c r="S106" i="2"/>
  <c r="S107" i="2"/>
  <c r="T107" i="2"/>
  <c r="T108" i="2"/>
  <c r="S108" i="2"/>
  <c r="S109" i="2"/>
  <c r="T109" i="2"/>
  <c r="T110" i="2"/>
  <c r="S110" i="2"/>
  <c r="S100" i="2"/>
  <c r="T100" i="2"/>
  <c r="G59" i="2"/>
  <c r="H59" i="2" s="1"/>
  <c r="I59" i="2" s="1"/>
  <c r="J59" i="2" s="1"/>
  <c r="K59" i="2" s="1"/>
  <c r="L59" i="2" s="1"/>
  <c r="M59" i="2" s="1"/>
  <c r="N59" i="2" s="1"/>
  <c r="P59" i="2" s="1"/>
  <c r="R59" i="2" s="1"/>
  <c r="S59" i="2" s="1"/>
  <c r="T59" i="2" s="1"/>
  <c r="V59" i="2" s="1"/>
  <c r="T111" i="2" l="1"/>
  <c r="S111" i="2"/>
  <c r="D6" i="7" l="1"/>
  <c r="E6" i="7" s="1"/>
  <c r="F6" i="7" s="1"/>
  <c r="G6" i="7" s="1"/>
  <c r="H6" i="7" s="1"/>
  <c r="I6" i="7" s="1"/>
  <c r="J6" i="7" s="1"/>
  <c r="K6" i="7" s="1"/>
  <c r="L6" i="7" s="1"/>
  <c r="B6" i="7"/>
  <c r="R97" i="2" l="1"/>
  <c r="Q97" i="2"/>
  <c r="L97" i="2"/>
  <c r="K97" i="2"/>
  <c r="J97" i="2"/>
  <c r="I97" i="2"/>
  <c r="H97" i="2"/>
  <c r="G97" i="2"/>
  <c r="V96" i="2"/>
  <c r="U96" i="2"/>
  <c r="P96" i="2"/>
  <c r="O96" i="2"/>
  <c r="V95" i="2"/>
  <c r="U95" i="2"/>
  <c r="P95" i="2"/>
  <c r="O95" i="2"/>
  <c r="V94" i="2"/>
  <c r="U94" i="2"/>
  <c r="P94" i="2"/>
  <c r="O94" i="2"/>
  <c r="V93" i="2"/>
  <c r="U93" i="2"/>
  <c r="P93" i="2"/>
  <c r="O93" i="2"/>
  <c r="V92" i="2"/>
  <c r="U92" i="2"/>
  <c r="P92" i="2"/>
  <c r="O92" i="2"/>
  <c r="V91" i="2"/>
  <c r="U91" i="2"/>
  <c r="P91" i="2"/>
  <c r="O91" i="2"/>
  <c r="V90" i="2"/>
  <c r="U90" i="2"/>
  <c r="P90" i="2"/>
  <c r="O90" i="2"/>
  <c r="V89" i="2"/>
  <c r="U89" i="2"/>
  <c r="P89" i="2"/>
  <c r="O89" i="2"/>
  <c r="V88" i="2"/>
  <c r="U88" i="2"/>
  <c r="P88" i="2"/>
  <c r="O88" i="2"/>
  <c r="V87" i="2"/>
  <c r="U87" i="2"/>
  <c r="P87" i="2"/>
  <c r="O87" i="2"/>
  <c r="V86" i="2"/>
  <c r="U86" i="2"/>
  <c r="P86" i="2"/>
  <c r="O86" i="2"/>
  <c r="AD87" i="1"/>
  <c r="AC87" i="1"/>
  <c r="V87" i="1"/>
  <c r="U87" i="1"/>
  <c r="T87" i="1"/>
  <c r="R87" i="1"/>
  <c r="Q87" i="1"/>
  <c r="P87" i="1"/>
  <c r="N87" i="1"/>
  <c r="M87" i="1"/>
  <c r="L87" i="1"/>
  <c r="J87" i="1"/>
  <c r="I87" i="1"/>
  <c r="H87" i="1"/>
  <c r="F87" i="1"/>
  <c r="E87" i="1"/>
  <c r="D87" i="1"/>
  <c r="AE86" i="1"/>
  <c r="F96" i="2" s="1"/>
  <c r="AB86" i="1"/>
  <c r="E96" i="2" s="1"/>
  <c r="AA86" i="1"/>
  <c r="D96" i="2" s="1"/>
  <c r="AE85" i="1"/>
  <c r="F95" i="2" s="1"/>
  <c r="AB85" i="1"/>
  <c r="E95" i="2" s="1"/>
  <c r="AA85" i="1"/>
  <c r="D95" i="2" s="1"/>
  <c r="AE84" i="1"/>
  <c r="F94" i="2" s="1"/>
  <c r="AB84" i="1"/>
  <c r="E94" i="2" s="1"/>
  <c r="AA84" i="1"/>
  <c r="D94" i="2" s="1"/>
  <c r="S94" i="2" s="1"/>
  <c r="AE83" i="1"/>
  <c r="F93" i="2" s="1"/>
  <c r="AB83" i="1"/>
  <c r="E93" i="2" s="1"/>
  <c r="AA83" i="1"/>
  <c r="D93" i="2" s="1"/>
  <c r="AE82" i="1"/>
  <c r="F92" i="2" s="1"/>
  <c r="AB82" i="1"/>
  <c r="E92" i="2" s="1"/>
  <c r="AA82" i="1"/>
  <c r="D92" i="2" s="1"/>
  <c r="AE81" i="1"/>
  <c r="F91" i="2" s="1"/>
  <c r="AB81" i="1"/>
  <c r="E91" i="2" s="1"/>
  <c r="AA81" i="1"/>
  <c r="D91" i="2" s="1"/>
  <c r="AE80" i="1"/>
  <c r="F90" i="2" s="1"/>
  <c r="AB80" i="1"/>
  <c r="E90" i="2" s="1"/>
  <c r="AA80" i="1"/>
  <c r="D90" i="2" s="1"/>
  <c r="AE79" i="1"/>
  <c r="F89" i="2" s="1"/>
  <c r="AB79" i="1"/>
  <c r="E89" i="2" s="1"/>
  <c r="AA79" i="1"/>
  <c r="D89" i="2" s="1"/>
  <c r="AE78" i="1"/>
  <c r="F88" i="2" s="1"/>
  <c r="AB78" i="1"/>
  <c r="E88" i="2" s="1"/>
  <c r="AA78" i="1"/>
  <c r="D88" i="2" s="1"/>
  <c r="AE77" i="1"/>
  <c r="F87" i="2" s="1"/>
  <c r="AB77" i="1"/>
  <c r="E87" i="2" s="1"/>
  <c r="AA77" i="1"/>
  <c r="D87" i="2" s="1"/>
  <c r="AE76" i="1"/>
  <c r="F86" i="2" s="1"/>
  <c r="AB76" i="1"/>
  <c r="E86" i="2" s="1"/>
  <c r="AA76" i="1"/>
  <c r="D86" i="2" s="1"/>
  <c r="S96" i="2" l="1"/>
  <c r="S92" i="2"/>
  <c r="T87" i="2"/>
  <c r="T89" i="2"/>
  <c r="T91" i="2"/>
  <c r="T93" i="2"/>
  <c r="T95" i="2"/>
  <c r="S88" i="2"/>
  <c r="P97" i="2"/>
  <c r="S90" i="2"/>
  <c r="V97" i="2"/>
  <c r="U97" i="2"/>
  <c r="E97" i="2"/>
  <c r="O97" i="2"/>
  <c r="S87" i="2"/>
  <c r="T88" i="2"/>
  <c r="S89" i="2"/>
  <c r="T90" i="2"/>
  <c r="S91" i="2"/>
  <c r="T92" i="2"/>
  <c r="S93" i="2"/>
  <c r="T94" i="2"/>
  <c r="S95" i="2"/>
  <c r="T96" i="2"/>
  <c r="D97" i="2"/>
  <c r="F97" i="2"/>
  <c r="T86" i="2"/>
  <c r="S86" i="2"/>
  <c r="AA87" i="1"/>
  <c r="AE87" i="1"/>
  <c r="AB87" i="1"/>
  <c r="T97" i="2" l="1"/>
  <c r="S97" i="2"/>
  <c r="AA62" i="1"/>
  <c r="O72" i="2" l="1"/>
  <c r="V72" i="2" l="1"/>
  <c r="V73" i="2"/>
  <c r="V75" i="2"/>
  <c r="V76" i="2"/>
  <c r="V77" i="2"/>
  <c r="V78" i="2"/>
  <c r="V79" i="2"/>
  <c r="V80" i="2"/>
  <c r="V81" i="2"/>
  <c r="V82" i="2"/>
  <c r="U75" i="2"/>
  <c r="U76" i="2"/>
  <c r="U77" i="2"/>
  <c r="U78" i="2"/>
  <c r="U79" i="2"/>
  <c r="U80" i="2"/>
  <c r="U81" i="2"/>
  <c r="U82" i="2"/>
  <c r="V74" i="2"/>
  <c r="U74" i="2"/>
  <c r="U73" i="2" l="1"/>
  <c r="U72" i="2" l="1"/>
  <c r="R83" i="2"/>
  <c r="Q83" i="2"/>
  <c r="J83" i="2"/>
  <c r="I83" i="2"/>
  <c r="H83" i="2"/>
  <c r="L83" i="2"/>
  <c r="K83" i="2"/>
  <c r="P81" i="2"/>
  <c r="O81" i="2"/>
  <c r="P80" i="2"/>
  <c r="O80" i="2"/>
  <c r="P79" i="2"/>
  <c r="O79" i="2"/>
  <c r="P78" i="2"/>
  <c r="O78" i="2"/>
  <c r="P77" i="2"/>
  <c r="O77" i="2"/>
  <c r="P76" i="2"/>
  <c r="G83" i="2"/>
  <c r="P75" i="2"/>
  <c r="O75" i="2"/>
  <c r="P74" i="2"/>
  <c r="O74" i="2"/>
  <c r="P73" i="2"/>
  <c r="O73" i="2"/>
  <c r="P72" i="2"/>
  <c r="V73" i="1"/>
  <c r="R73" i="1"/>
  <c r="N73" i="1"/>
  <c r="J73" i="1"/>
  <c r="F73" i="1"/>
  <c r="AE72" i="1"/>
  <c r="F82" i="2" s="1"/>
  <c r="AB72" i="1"/>
  <c r="E82" i="2" s="1"/>
  <c r="AA72" i="1"/>
  <c r="D82" i="2" s="1"/>
  <c r="AE71" i="1"/>
  <c r="F81" i="2" s="1"/>
  <c r="AB71" i="1"/>
  <c r="E81" i="2" s="1"/>
  <c r="AA71" i="1"/>
  <c r="D81" i="2" s="1"/>
  <c r="AE70" i="1"/>
  <c r="F80" i="2" s="1"/>
  <c r="AB70" i="1"/>
  <c r="E80" i="2" s="1"/>
  <c r="AA70" i="1"/>
  <c r="D80" i="2" s="1"/>
  <c r="AE69" i="1"/>
  <c r="F79" i="2" s="1"/>
  <c r="AB69" i="1"/>
  <c r="E79" i="2" s="1"/>
  <c r="AA69" i="1"/>
  <c r="D79" i="2" s="1"/>
  <c r="AE68" i="1"/>
  <c r="F78" i="2" s="1"/>
  <c r="AB68" i="1"/>
  <c r="E78" i="2" s="1"/>
  <c r="AA68" i="1"/>
  <c r="D78" i="2" s="1"/>
  <c r="AE67" i="1"/>
  <c r="F77" i="2" s="1"/>
  <c r="AB67" i="1"/>
  <c r="E77" i="2" s="1"/>
  <c r="AA67" i="1"/>
  <c r="D77" i="2" s="1"/>
  <c r="S77" i="2" s="1"/>
  <c r="AE66" i="1"/>
  <c r="F76" i="2" s="1"/>
  <c r="AB66" i="1"/>
  <c r="E76" i="2" s="1"/>
  <c r="AA66" i="1"/>
  <c r="D76" i="2" s="1"/>
  <c r="AE65" i="1"/>
  <c r="F75" i="2" s="1"/>
  <c r="AB65" i="1"/>
  <c r="E75" i="2" s="1"/>
  <c r="AA65" i="1"/>
  <c r="D75" i="2" s="1"/>
  <c r="AE64" i="1"/>
  <c r="F74" i="2" s="1"/>
  <c r="AB64" i="1"/>
  <c r="E74" i="2" s="1"/>
  <c r="AA64" i="1"/>
  <c r="D74" i="2" s="1"/>
  <c r="AE63" i="1"/>
  <c r="F73" i="2" s="1"/>
  <c r="AB63" i="1"/>
  <c r="E73" i="2" s="1"/>
  <c r="AA63" i="1"/>
  <c r="AE62" i="1"/>
  <c r="F72" i="2" s="1"/>
  <c r="T75" i="2" l="1"/>
  <c r="S78" i="2"/>
  <c r="S80" i="2"/>
  <c r="F83" i="2"/>
  <c r="D73" i="2"/>
  <c r="S73" i="2" s="1"/>
  <c r="AA73" i="1"/>
  <c r="T81" i="2"/>
  <c r="S81" i="2"/>
  <c r="T79" i="2"/>
  <c r="S79" i="2"/>
  <c r="T77" i="2"/>
  <c r="T78" i="2"/>
  <c r="T80" i="2"/>
  <c r="T76" i="2"/>
  <c r="S75" i="2"/>
  <c r="S74" i="2"/>
  <c r="T73" i="2"/>
  <c r="T74" i="2"/>
  <c r="O76" i="2"/>
  <c r="S76" i="2" s="1"/>
  <c r="O82" i="2"/>
  <c r="S82" i="2" s="1"/>
  <c r="P82" i="2"/>
  <c r="P83" i="2" s="1"/>
  <c r="E73" i="1"/>
  <c r="I73" i="1"/>
  <c r="M73" i="1"/>
  <c r="Q73" i="1"/>
  <c r="U73" i="1"/>
  <c r="AD73" i="1"/>
  <c r="V83" i="2" s="1"/>
  <c r="D73" i="1"/>
  <c r="H73" i="1"/>
  <c r="L73" i="1"/>
  <c r="P73" i="1"/>
  <c r="T73" i="1"/>
  <c r="AE73" i="1"/>
  <c r="AC73" i="1"/>
  <c r="U83" i="2" s="1"/>
  <c r="AB62" i="1"/>
  <c r="AD54" i="1"/>
  <c r="V66" i="2" s="1"/>
  <c r="AC54" i="1"/>
  <c r="U66" i="2" s="1"/>
  <c r="U54" i="1"/>
  <c r="T54" i="1"/>
  <c r="P54" i="1"/>
  <c r="Q54" i="1"/>
  <c r="M54" i="1"/>
  <c r="L54" i="1"/>
  <c r="I54" i="1"/>
  <c r="H54" i="1"/>
  <c r="E54" i="1"/>
  <c r="D54" i="1"/>
  <c r="AC55" i="1"/>
  <c r="U67" i="2" s="1"/>
  <c r="M55" i="1"/>
  <c r="L55" i="1"/>
  <c r="V67" i="2"/>
  <c r="P66" i="2"/>
  <c r="P67" i="2"/>
  <c r="O66" i="2"/>
  <c r="O67" i="2"/>
  <c r="U55" i="1"/>
  <c r="T55" i="1"/>
  <c r="Q55" i="1"/>
  <c r="P55" i="1"/>
  <c r="I55" i="1"/>
  <c r="H55" i="1"/>
  <c r="E55" i="1"/>
  <c r="D55" i="1"/>
  <c r="O65" i="2"/>
  <c r="P65" i="2"/>
  <c r="AD53" i="1"/>
  <c r="V65" i="2" s="1"/>
  <c r="AC53" i="1"/>
  <c r="U65" i="2" s="1"/>
  <c r="U53" i="1"/>
  <c r="T53" i="1"/>
  <c r="Q53" i="1"/>
  <c r="P53" i="1"/>
  <c r="M53" i="1"/>
  <c r="L53" i="1"/>
  <c r="I53" i="1"/>
  <c r="H53" i="1"/>
  <c r="E53" i="1"/>
  <c r="D53" i="1"/>
  <c r="P50" i="1"/>
  <c r="AC50" i="1"/>
  <c r="AD50" i="1"/>
  <c r="V62" i="2" s="1"/>
  <c r="U50" i="1"/>
  <c r="T50" i="1"/>
  <c r="Q50" i="1"/>
  <c r="M50" i="1"/>
  <c r="L50" i="1"/>
  <c r="I50" i="1"/>
  <c r="H50" i="1"/>
  <c r="E50" i="1"/>
  <c r="D50" i="1"/>
  <c r="P63" i="2"/>
  <c r="O63" i="2"/>
  <c r="Q71" i="2"/>
  <c r="R71" i="2"/>
  <c r="H71" i="2"/>
  <c r="I71" i="2"/>
  <c r="J71" i="2"/>
  <c r="L70" i="2"/>
  <c r="P70" i="2" s="1"/>
  <c r="K70" i="2"/>
  <c r="K71" i="2" s="1"/>
  <c r="AD58" i="1"/>
  <c r="V70" i="2" s="1"/>
  <c r="AC58" i="1"/>
  <c r="U70" i="2" s="1"/>
  <c r="U58" i="1"/>
  <c r="T58" i="1"/>
  <c r="Q58" i="1"/>
  <c r="AB58" i="1" s="1"/>
  <c r="E70" i="2" s="1"/>
  <c r="P58" i="1"/>
  <c r="M58" i="1"/>
  <c r="L58" i="1"/>
  <c r="I58" i="1"/>
  <c r="H58" i="1"/>
  <c r="E58" i="1"/>
  <c r="D58" i="1"/>
  <c r="U52" i="1"/>
  <c r="T52" i="1"/>
  <c r="U64" i="2"/>
  <c r="V64" i="2"/>
  <c r="P64" i="2"/>
  <c r="G64" i="2"/>
  <c r="G71" i="2" s="1"/>
  <c r="Q52" i="1"/>
  <c r="P52" i="1"/>
  <c r="M52" i="1"/>
  <c r="L52" i="1"/>
  <c r="I52" i="1"/>
  <c r="H52" i="1"/>
  <c r="E52" i="1"/>
  <c r="D52" i="1"/>
  <c r="U69" i="2"/>
  <c r="V69" i="2"/>
  <c r="U57" i="1"/>
  <c r="T57" i="1"/>
  <c r="Q57" i="1"/>
  <c r="P57" i="1"/>
  <c r="M57" i="1"/>
  <c r="L57" i="1"/>
  <c r="I57" i="1"/>
  <c r="H57" i="1"/>
  <c r="E57" i="1"/>
  <c r="AB57" i="1" s="1"/>
  <c r="E69" i="2" s="1"/>
  <c r="D57" i="1"/>
  <c r="U48" i="1"/>
  <c r="T48" i="1"/>
  <c r="Q48" i="1"/>
  <c r="P48" i="1"/>
  <c r="M48" i="1"/>
  <c r="L48" i="1"/>
  <c r="I48" i="1"/>
  <c r="H48" i="1"/>
  <c r="E48" i="1"/>
  <c r="D48" i="1"/>
  <c r="V60" i="2"/>
  <c r="V61" i="2"/>
  <c r="U60" i="2"/>
  <c r="U61" i="2"/>
  <c r="U62" i="2"/>
  <c r="P60" i="2"/>
  <c r="P62" i="2"/>
  <c r="O60" i="2"/>
  <c r="O62" i="2"/>
  <c r="D49" i="1"/>
  <c r="E49" i="1"/>
  <c r="H49" i="1"/>
  <c r="I49" i="1"/>
  <c r="L49" i="1"/>
  <c r="M49" i="1"/>
  <c r="P49" i="1"/>
  <c r="Q49" i="1"/>
  <c r="T49" i="1"/>
  <c r="U49" i="1"/>
  <c r="AD56" i="1"/>
  <c r="V68" i="2" s="1"/>
  <c r="AC56" i="1"/>
  <c r="U68" i="2" s="1"/>
  <c r="U56" i="1"/>
  <c r="T56" i="1"/>
  <c r="Q56" i="1"/>
  <c r="P56" i="1"/>
  <c r="M56" i="1"/>
  <c r="L56" i="1"/>
  <c r="I56" i="1"/>
  <c r="H56" i="1"/>
  <c r="E56" i="1"/>
  <c r="D56" i="1"/>
  <c r="DI21" i="5"/>
  <c r="DI25" i="5"/>
  <c r="DI26" i="5"/>
  <c r="DD21" i="5"/>
  <c r="DD25" i="5"/>
  <c r="DG21" i="5"/>
  <c r="DG25" i="5"/>
  <c r="DG26" i="5" s="1"/>
  <c r="DJ24" i="5"/>
  <c r="DH24" i="5"/>
  <c r="DE24" i="5"/>
  <c r="DF24" i="5"/>
  <c r="DH23" i="5"/>
  <c r="DE23" i="5"/>
  <c r="DF23" i="5" s="1"/>
  <c r="DH22" i="5"/>
  <c r="DE22" i="5"/>
  <c r="DF22" i="5" s="1"/>
  <c r="DH21" i="5"/>
  <c r="DJ20" i="5"/>
  <c r="DH20" i="5"/>
  <c r="DE20" i="5"/>
  <c r="DF20" i="5" s="1"/>
  <c r="DJ19" i="5"/>
  <c r="DH19" i="5"/>
  <c r="DE19" i="5"/>
  <c r="DF19" i="5" s="1"/>
  <c r="DJ18" i="5"/>
  <c r="DH18" i="5"/>
  <c r="DE18" i="5"/>
  <c r="DF18" i="5" s="1"/>
  <c r="DJ17" i="5"/>
  <c r="DH17" i="5"/>
  <c r="DE17" i="5"/>
  <c r="DF17" i="5" s="1"/>
  <c r="DJ16" i="5"/>
  <c r="DH16" i="5"/>
  <c r="DE16" i="5"/>
  <c r="DF16" i="5" s="1"/>
  <c r="DJ15" i="5"/>
  <c r="DH15" i="5"/>
  <c r="DE15" i="5"/>
  <c r="DF15" i="5" s="1"/>
  <c r="DJ14" i="5"/>
  <c r="DH14" i="5"/>
  <c r="DE14" i="5"/>
  <c r="DF14" i="5" s="1"/>
  <c r="DJ13" i="5"/>
  <c r="DH13" i="5"/>
  <c r="DE13" i="5"/>
  <c r="DF13" i="5" s="1"/>
  <c r="DJ12" i="5"/>
  <c r="DH12" i="5"/>
  <c r="DE12" i="5"/>
  <c r="DF12" i="5" s="1"/>
  <c r="DJ11" i="5"/>
  <c r="DH11" i="5"/>
  <c r="DE11" i="5"/>
  <c r="DF11" i="5" s="1"/>
  <c r="DJ10" i="5"/>
  <c r="DH10" i="5"/>
  <c r="DE10" i="5"/>
  <c r="DF10" i="5" s="1"/>
  <c r="BS21" i="6"/>
  <c r="BS25" i="6"/>
  <c r="BP21" i="6"/>
  <c r="BP25" i="6"/>
  <c r="BQ10" i="6"/>
  <c r="BQ11" i="6"/>
  <c r="BQ12" i="6"/>
  <c r="BR12" i="6" s="1"/>
  <c r="BQ13" i="6"/>
  <c r="BQ14" i="6"/>
  <c r="BR14" i="6" s="1"/>
  <c r="BQ15" i="6"/>
  <c r="BQ16" i="6"/>
  <c r="BR16" i="6" s="1"/>
  <c r="BQ17" i="6"/>
  <c r="BQ18" i="6"/>
  <c r="BR18" i="6" s="1"/>
  <c r="BQ19" i="6"/>
  <c r="BQ20" i="6"/>
  <c r="BR20" i="6" s="1"/>
  <c r="BQ22" i="6"/>
  <c r="BQ23" i="6"/>
  <c r="BQ24" i="6"/>
  <c r="BR24" i="6" s="1"/>
  <c r="BT24" i="6"/>
  <c r="BT23" i="6"/>
  <c r="BR23" i="6"/>
  <c r="BT22" i="6"/>
  <c r="BT21" i="6"/>
  <c r="BT20" i="6"/>
  <c r="BT19" i="6"/>
  <c r="BR19" i="6"/>
  <c r="BT18" i="6"/>
  <c r="BT17" i="6"/>
  <c r="BR17" i="6"/>
  <c r="BT16" i="6"/>
  <c r="BT15" i="6"/>
  <c r="BR15" i="6"/>
  <c r="BT14" i="6"/>
  <c r="BT13" i="6"/>
  <c r="BR13" i="6"/>
  <c r="BT12" i="6"/>
  <c r="BT11" i="6"/>
  <c r="BR11" i="6"/>
  <c r="BT10" i="6"/>
  <c r="U63" i="2"/>
  <c r="O61" i="2"/>
  <c r="P61" i="2"/>
  <c r="O68" i="2"/>
  <c r="P68" i="2"/>
  <c r="O69" i="2"/>
  <c r="P69" i="2"/>
  <c r="O70" i="2"/>
  <c r="AD51" i="1"/>
  <c r="V63" i="2" s="1"/>
  <c r="U51" i="1"/>
  <c r="T51" i="1"/>
  <c r="Q51" i="1"/>
  <c r="P51" i="1"/>
  <c r="M51" i="1"/>
  <c r="L51" i="1"/>
  <c r="I51" i="1"/>
  <c r="H51" i="1"/>
  <c r="E51" i="1"/>
  <c r="D51" i="1"/>
  <c r="AE48" i="1"/>
  <c r="F60" i="2" s="1"/>
  <c r="AE49" i="1"/>
  <c r="F61" i="2" s="1"/>
  <c r="AE50" i="1"/>
  <c r="F62" i="2" s="1"/>
  <c r="AE51" i="1"/>
  <c r="F63" i="2" s="1"/>
  <c r="AE52" i="1"/>
  <c r="F64" i="2" s="1"/>
  <c r="AE53" i="1"/>
  <c r="F65" i="2" s="1"/>
  <c r="AE54" i="1"/>
  <c r="F66" i="2" s="1"/>
  <c r="AE55" i="1"/>
  <c r="F67" i="2" s="1"/>
  <c r="AE56" i="1"/>
  <c r="F68" i="2" s="1"/>
  <c r="AE57" i="1"/>
  <c r="F69" i="2" s="1"/>
  <c r="AE58" i="1"/>
  <c r="F70" i="2" s="1"/>
  <c r="Z59" i="1"/>
  <c r="Y59" i="1"/>
  <c r="X59" i="1"/>
  <c r="V59" i="1"/>
  <c r="R59" i="1"/>
  <c r="N59" i="1"/>
  <c r="J59" i="1"/>
  <c r="F59" i="1"/>
  <c r="N71" i="2"/>
  <c r="M71" i="2"/>
  <c r="M44" i="1"/>
  <c r="J49" i="2"/>
  <c r="P49" i="2" s="1"/>
  <c r="I49" i="2"/>
  <c r="O49" i="2" s="1"/>
  <c r="U44" i="1"/>
  <c r="T44" i="1"/>
  <c r="Q44" i="1"/>
  <c r="P44" i="1"/>
  <c r="L44" i="1"/>
  <c r="I44" i="1"/>
  <c r="H44" i="1"/>
  <c r="E44" i="1"/>
  <c r="D44" i="1"/>
  <c r="P46" i="2"/>
  <c r="U41" i="1"/>
  <c r="T41" i="1"/>
  <c r="Q41" i="1"/>
  <c r="P41" i="1"/>
  <c r="M41" i="1"/>
  <c r="L41" i="1"/>
  <c r="I41" i="1"/>
  <c r="H41" i="1"/>
  <c r="E41" i="1"/>
  <c r="Q36" i="1"/>
  <c r="L41" i="2"/>
  <c r="P41" i="2" s="1"/>
  <c r="K41" i="2"/>
  <c r="K50" i="2" s="1"/>
  <c r="U36" i="1"/>
  <c r="T36" i="1"/>
  <c r="P36" i="1"/>
  <c r="M36" i="1"/>
  <c r="L36" i="1"/>
  <c r="I36" i="1"/>
  <c r="H36" i="1"/>
  <c r="E36" i="1"/>
  <c r="D36" i="1"/>
  <c r="P48" i="2"/>
  <c r="U43" i="1"/>
  <c r="T43" i="1"/>
  <c r="Q43" i="1"/>
  <c r="P43" i="1"/>
  <c r="M43" i="1"/>
  <c r="L43" i="1"/>
  <c r="I43" i="1"/>
  <c r="H43" i="1"/>
  <c r="E43" i="1"/>
  <c r="D43" i="1"/>
  <c r="P47" i="2"/>
  <c r="U42" i="1"/>
  <c r="T42" i="1"/>
  <c r="Q42" i="1"/>
  <c r="P42" i="1"/>
  <c r="M42" i="1"/>
  <c r="L42" i="1"/>
  <c r="I42" i="1"/>
  <c r="H42" i="1"/>
  <c r="E42" i="1"/>
  <c r="AB42" i="1" s="1"/>
  <c r="E47" i="2" s="1"/>
  <c r="D42" i="1"/>
  <c r="U40" i="1"/>
  <c r="P45" i="2"/>
  <c r="T40" i="1"/>
  <c r="Q40" i="1"/>
  <c r="P40" i="1"/>
  <c r="M40" i="1"/>
  <c r="L40" i="1"/>
  <c r="I40" i="1"/>
  <c r="H40" i="1"/>
  <c r="E40" i="1"/>
  <c r="D40" i="1"/>
  <c r="P44" i="2"/>
  <c r="U39" i="1"/>
  <c r="T39" i="1"/>
  <c r="Q39" i="1"/>
  <c r="P39" i="1"/>
  <c r="M39" i="1"/>
  <c r="L39" i="1"/>
  <c r="I39" i="1"/>
  <c r="H39" i="1"/>
  <c r="E39" i="1"/>
  <c r="D39" i="1"/>
  <c r="P43" i="2"/>
  <c r="U38" i="1"/>
  <c r="T38" i="1"/>
  <c r="Q38" i="1"/>
  <c r="P38" i="1"/>
  <c r="M38" i="1"/>
  <c r="L38" i="1"/>
  <c r="I38" i="1"/>
  <c r="H38" i="1"/>
  <c r="E38" i="1"/>
  <c r="D38" i="1"/>
  <c r="P42" i="2"/>
  <c r="U37" i="1"/>
  <c r="T37" i="1"/>
  <c r="Q37" i="1"/>
  <c r="P37" i="1"/>
  <c r="M37" i="1"/>
  <c r="L37" i="1"/>
  <c r="I37" i="1"/>
  <c r="H37" i="1"/>
  <c r="E37" i="1"/>
  <c r="D37" i="1"/>
  <c r="U35" i="1"/>
  <c r="T35" i="1"/>
  <c r="Q35" i="1"/>
  <c r="P35" i="1"/>
  <c r="M35" i="1"/>
  <c r="L35" i="1"/>
  <c r="I35" i="1"/>
  <c r="H35" i="1"/>
  <c r="E35" i="1"/>
  <c r="D35" i="1"/>
  <c r="P40" i="2"/>
  <c r="O40" i="2"/>
  <c r="O41" i="2"/>
  <c r="O42" i="2"/>
  <c r="O43" i="2"/>
  <c r="O44" i="2"/>
  <c r="O45" i="2"/>
  <c r="O46" i="2"/>
  <c r="O47" i="2"/>
  <c r="O48" i="2"/>
  <c r="U41" i="2"/>
  <c r="V41" i="2"/>
  <c r="U42" i="2"/>
  <c r="V42" i="2"/>
  <c r="U43" i="2"/>
  <c r="V43" i="2"/>
  <c r="U44" i="2"/>
  <c r="V44" i="2"/>
  <c r="U45" i="2"/>
  <c r="V45" i="2"/>
  <c r="U46" i="2"/>
  <c r="V46" i="2"/>
  <c r="U47" i="2"/>
  <c r="V47" i="2"/>
  <c r="U48" i="2"/>
  <c r="V48" i="2"/>
  <c r="U49" i="2"/>
  <c r="V49" i="2"/>
  <c r="V40" i="2"/>
  <c r="U40" i="2"/>
  <c r="V39" i="2"/>
  <c r="U39" i="2"/>
  <c r="P39" i="2"/>
  <c r="O39" i="2"/>
  <c r="AB35" i="1"/>
  <c r="E40" i="2" s="1"/>
  <c r="T40" i="2" s="1"/>
  <c r="AB37" i="1"/>
  <c r="E42" i="2" s="1"/>
  <c r="AB39" i="1"/>
  <c r="E44" i="2" s="1"/>
  <c r="T44" i="2" s="1"/>
  <c r="AA38" i="1"/>
  <c r="D43" i="2" s="1"/>
  <c r="AA43" i="1"/>
  <c r="D48" i="2" s="1"/>
  <c r="U34" i="1"/>
  <c r="T34" i="1"/>
  <c r="Q34" i="1"/>
  <c r="P34" i="1"/>
  <c r="M34" i="1"/>
  <c r="L34" i="1"/>
  <c r="I34" i="1"/>
  <c r="H34" i="1"/>
  <c r="E34" i="1"/>
  <c r="D34" i="1"/>
  <c r="DB21" i="5"/>
  <c r="DB25" i="5"/>
  <c r="DB26" i="5" s="1"/>
  <c r="CW21" i="5"/>
  <c r="CW25" i="5"/>
  <c r="CW26" i="5" s="1"/>
  <c r="CZ21" i="5"/>
  <c r="CZ25" i="5"/>
  <c r="CZ26" i="5" s="1"/>
  <c r="DC25" i="5"/>
  <c r="DC24" i="5"/>
  <c r="DA24" i="5"/>
  <c r="CX24" i="5"/>
  <c r="CY24" i="5" s="1"/>
  <c r="DA23" i="5"/>
  <c r="CX23" i="5"/>
  <c r="CY23" i="5" s="1"/>
  <c r="DA22" i="5"/>
  <c r="CX22" i="5"/>
  <c r="CY22" i="5" s="1"/>
  <c r="DC21" i="5"/>
  <c r="DC20" i="5"/>
  <c r="DA20" i="5"/>
  <c r="CX20" i="5"/>
  <c r="CY20" i="5" s="1"/>
  <c r="DC19" i="5"/>
  <c r="DA19" i="5"/>
  <c r="CX19" i="5"/>
  <c r="CY19" i="5" s="1"/>
  <c r="DC18" i="5"/>
  <c r="DA18" i="5"/>
  <c r="CX18" i="5"/>
  <c r="CY18" i="5" s="1"/>
  <c r="DC17" i="5"/>
  <c r="DA17" i="5"/>
  <c r="CX17" i="5"/>
  <c r="CY17" i="5" s="1"/>
  <c r="DC16" i="5"/>
  <c r="DA16" i="5"/>
  <c r="CX16" i="5"/>
  <c r="CY16" i="5" s="1"/>
  <c r="DC15" i="5"/>
  <c r="DA15" i="5"/>
  <c r="CX15" i="5"/>
  <c r="CY15" i="5" s="1"/>
  <c r="DC14" i="5"/>
  <c r="DA14" i="5"/>
  <c r="CX14" i="5"/>
  <c r="CY14" i="5" s="1"/>
  <c r="DC13" i="5"/>
  <c r="DA13" i="5"/>
  <c r="CX13" i="5"/>
  <c r="CY13" i="5" s="1"/>
  <c r="DC12" i="5"/>
  <c r="DA12" i="5"/>
  <c r="CX12" i="5"/>
  <c r="CY12" i="5" s="1"/>
  <c r="DC11" i="5"/>
  <c r="DA11" i="5"/>
  <c r="CX11" i="5"/>
  <c r="CY11" i="5" s="1"/>
  <c r="DC10" i="5"/>
  <c r="DA10" i="5"/>
  <c r="CX10" i="5"/>
  <c r="CY10" i="5" s="1"/>
  <c r="BN21" i="6"/>
  <c r="BN25" i="6"/>
  <c r="BK21" i="6"/>
  <c r="BK25" i="6"/>
  <c r="BL10" i="6"/>
  <c r="BL11" i="6"/>
  <c r="BM11" i="6" s="1"/>
  <c r="BL12" i="6"/>
  <c r="BL13" i="6"/>
  <c r="BM13" i="6" s="1"/>
  <c r="BL14" i="6"/>
  <c r="BM14" i="6" s="1"/>
  <c r="BL15" i="6"/>
  <c r="BM15" i="6" s="1"/>
  <c r="BL16" i="6"/>
  <c r="BL17" i="6"/>
  <c r="BM17" i="6" s="1"/>
  <c r="BL18" i="6"/>
  <c r="BM18" i="6" s="1"/>
  <c r="BL19" i="6"/>
  <c r="BM19" i="6" s="1"/>
  <c r="BL20" i="6"/>
  <c r="BL22" i="6"/>
  <c r="BL23" i="6"/>
  <c r="BM23" i="6" s="1"/>
  <c r="BL24" i="6"/>
  <c r="BM24" i="6" s="1"/>
  <c r="BO24" i="6"/>
  <c r="BO23" i="6"/>
  <c r="BO22" i="6"/>
  <c r="BM22" i="6"/>
  <c r="BO20" i="6"/>
  <c r="BM20" i="6"/>
  <c r="BO19" i="6"/>
  <c r="BO18" i="6"/>
  <c r="BO17" i="6"/>
  <c r="BO16" i="6"/>
  <c r="BM16" i="6"/>
  <c r="BO15" i="6"/>
  <c r="BO14" i="6"/>
  <c r="BO13" i="6"/>
  <c r="BO12" i="6"/>
  <c r="BM12" i="6"/>
  <c r="BO11" i="6"/>
  <c r="BO10" i="6"/>
  <c r="AE34" i="1"/>
  <c r="F39" i="2" s="1"/>
  <c r="AE35" i="1"/>
  <c r="F40" i="2" s="1"/>
  <c r="AE36" i="1"/>
  <c r="F41" i="2" s="1"/>
  <c r="AE37" i="1"/>
  <c r="F42" i="2" s="1"/>
  <c r="AE38" i="1"/>
  <c r="F43" i="2" s="1"/>
  <c r="AE39" i="1"/>
  <c r="F44" i="2" s="1"/>
  <c r="AE40" i="1"/>
  <c r="F45" i="2" s="1"/>
  <c r="AE41" i="1"/>
  <c r="F46" i="2" s="1"/>
  <c r="AE42" i="1"/>
  <c r="F47" i="2" s="1"/>
  <c r="AE43" i="1"/>
  <c r="F48" i="2" s="1"/>
  <c r="AE44" i="1"/>
  <c r="F49" i="2" s="1"/>
  <c r="AD45" i="1"/>
  <c r="AC45" i="1"/>
  <c r="Z45" i="1"/>
  <c r="Y45" i="1"/>
  <c r="X45" i="1"/>
  <c r="V45" i="1"/>
  <c r="R45" i="1"/>
  <c r="N45" i="1"/>
  <c r="J45" i="1"/>
  <c r="F45" i="1"/>
  <c r="R50" i="2"/>
  <c r="Q50" i="2"/>
  <c r="N50" i="2"/>
  <c r="M50" i="2"/>
  <c r="L50" i="2"/>
  <c r="H50" i="2"/>
  <c r="G50" i="2"/>
  <c r="V26" i="2"/>
  <c r="V27" i="2"/>
  <c r="V28" i="2"/>
  <c r="V29" i="2"/>
  <c r="V30" i="2"/>
  <c r="V31" i="2"/>
  <c r="V32" i="2"/>
  <c r="V33" i="2"/>
  <c r="V34" i="2"/>
  <c r="V35" i="2"/>
  <c r="V36" i="2"/>
  <c r="Q37" i="2"/>
  <c r="R37" i="2"/>
  <c r="AA20" i="1"/>
  <c r="D26" i="2" s="1"/>
  <c r="O26" i="2"/>
  <c r="AA21" i="1"/>
  <c r="D27" i="2" s="1"/>
  <c r="O27" i="2"/>
  <c r="AA22" i="1"/>
  <c r="D28" i="2" s="1"/>
  <c r="O28" i="2"/>
  <c r="AA23" i="1"/>
  <c r="D29" i="2" s="1"/>
  <c r="O29" i="2"/>
  <c r="AA24" i="1"/>
  <c r="D30" i="2" s="1"/>
  <c r="O30" i="2"/>
  <c r="AA25" i="1"/>
  <c r="D31" i="2" s="1"/>
  <c r="O31" i="2"/>
  <c r="AA26" i="1"/>
  <c r="D32" i="2" s="1"/>
  <c r="O32" i="2"/>
  <c r="AA27" i="1"/>
  <c r="D33" i="2" s="1"/>
  <c r="O33" i="2"/>
  <c r="AA28" i="1"/>
  <c r="D34" i="2" s="1"/>
  <c r="O34" i="2"/>
  <c r="AA29" i="1"/>
  <c r="D35" i="2" s="1"/>
  <c r="O35" i="2"/>
  <c r="AA30" i="1"/>
  <c r="D36" i="2" s="1"/>
  <c r="O36" i="2"/>
  <c r="AB20" i="1"/>
  <c r="E26" i="2" s="1"/>
  <c r="P26" i="2"/>
  <c r="AB21" i="1"/>
  <c r="E27" i="2" s="1"/>
  <c r="P27" i="2"/>
  <c r="AB22" i="1"/>
  <c r="E28" i="2" s="1"/>
  <c r="P28" i="2"/>
  <c r="AB23" i="1"/>
  <c r="E29" i="2" s="1"/>
  <c r="P29" i="2"/>
  <c r="AB24" i="1"/>
  <c r="E30" i="2" s="1"/>
  <c r="P30" i="2"/>
  <c r="AB25" i="1"/>
  <c r="E31" i="2" s="1"/>
  <c r="P31" i="2"/>
  <c r="AB26" i="1"/>
  <c r="E32" i="2" s="1"/>
  <c r="P32" i="2"/>
  <c r="AB27" i="1"/>
  <c r="E33" i="2" s="1"/>
  <c r="P33" i="2"/>
  <c r="AB28" i="1"/>
  <c r="E34" i="2" s="1"/>
  <c r="P34" i="2"/>
  <c r="AB29" i="1"/>
  <c r="E35" i="2" s="1"/>
  <c r="P35" i="2"/>
  <c r="AB30" i="1"/>
  <c r="E36" i="2" s="1"/>
  <c r="P36" i="2"/>
  <c r="U26" i="2"/>
  <c r="U27" i="2"/>
  <c r="U28" i="2"/>
  <c r="U29" i="2"/>
  <c r="U30" i="2"/>
  <c r="U31" i="2"/>
  <c r="U32" i="2"/>
  <c r="U33" i="2"/>
  <c r="U34" i="2"/>
  <c r="U35" i="2"/>
  <c r="U36" i="2"/>
  <c r="N37" i="2"/>
  <c r="H37" i="2"/>
  <c r="I37" i="2"/>
  <c r="J37" i="2"/>
  <c r="K37" i="2"/>
  <c r="L37" i="2"/>
  <c r="M37" i="2"/>
  <c r="G37" i="2"/>
  <c r="AE25" i="1"/>
  <c r="F31" i="2" s="1"/>
  <c r="AD31" i="1"/>
  <c r="AC31" i="1"/>
  <c r="AE28" i="1"/>
  <c r="F34" i="2" s="1"/>
  <c r="AE20" i="1"/>
  <c r="F26" i="2" s="1"/>
  <c r="AE23" i="1"/>
  <c r="F29" i="2" s="1"/>
  <c r="AE21" i="1"/>
  <c r="F27" i="2" s="1"/>
  <c r="AE24" i="1"/>
  <c r="F30" i="2" s="1"/>
  <c r="AE26" i="1"/>
  <c r="F32" i="2" s="1"/>
  <c r="AE29" i="1"/>
  <c r="F35" i="2" s="1"/>
  <c r="AE27" i="1"/>
  <c r="F33" i="2" s="1"/>
  <c r="AE30" i="1"/>
  <c r="F36" i="2" s="1"/>
  <c r="AE22" i="1"/>
  <c r="F28" i="2" s="1"/>
  <c r="CU21" i="5"/>
  <c r="CU25" i="5"/>
  <c r="CP21" i="5"/>
  <c r="CQ21" i="5" s="1"/>
  <c r="CR21" i="5" s="1"/>
  <c r="CP25" i="5"/>
  <c r="CP26" i="5"/>
  <c r="CS21" i="5"/>
  <c r="CS25" i="5"/>
  <c r="CS26" i="5" s="1"/>
  <c r="CV25" i="5"/>
  <c r="CT25" i="5"/>
  <c r="CV24" i="5"/>
  <c r="CT24" i="5"/>
  <c r="CQ24" i="5"/>
  <c r="CR24" i="5" s="1"/>
  <c r="CT23" i="5"/>
  <c r="CQ23" i="5"/>
  <c r="CR23" i="5" s="1"/>
  <c r="CT22" i="5"/>
  <c r="CQ22" i="5"/>
  <c r="CR22" i="5" s="1"/>
  <c r="CV21" i="5"/>
  <c r="CV20" i="5"/>
  <c r="CT20" i="5"/>
  <c r="CQ20" i="5"/>
  <c r="CR20" i="5" s="1"/>
  <c r="CV19" i="5"/>
  <c r="CT19" i="5"/>
  <c r="CQ19" i="5"/>
  <c r="CR19" i="5" s="1"/>
  <c r="CV18" i="5"/>
  <c r="CT18" i="5"/>
  <c r="CQ18" i="5"/>
  <c r="CR18" i="5" s="1"/>
  <c r="CV17" i="5"/>
  <c r="CT17" i="5"/>
  <c r="CQ17" i="5"/>
  <c r="CR17" i="5" s="1"/>
  <c r="CV16" i="5"/>
  <c r="CT16" i="5"/>
  <c r="CQ16" i="5"/>
  <c r="CR16" i="5" s="1"/>
  <c r="CV15" i="5"/>
  <c r="CT15" i="5"/>
  <c r="CQ15" i="5"/>
  <c r="CR15" i="5" s="1"/>
  <c r="CV14" i="5"/>
  <c r="CT14" i="5"/>
  <c r="CQ14" i="5"/>
  <c r="CR14" i="5" s="1"/>
  <c r="CV13" i="5"/>
  <c r="CT13" i="5"/>
  <c r="CQ13" i="5"/>
  <c r="CR13" i="5" s="1"/>
  <c r="CV12" i="5"/>
  <c r="CT12" i="5"/>
  <c r="CQ12" i="5"/>
  <c r="CR12" i="5" s="1"/>
  <c r="CV11" i="5"/>
  <c r="CT11" i="5"/>
  <c r="CQ11" i="5"/>
  <c r="CR11" i="5" s="1"/>
  <c r="CV10" i="5"/>
  <c r="CT10" i="5"/>
  <c r="CQ10" i="5"/>
  <c r="CR10" i="5" s="1"/>
  <c r="BI21" i="6"/>
  <c r="BJ21" i="6" s="1"/>
  <c r="BI25" i="6"/>
  <c r="BI26" i="6"/>
  <c r="BF21" i="6"/>
  <c r="BF25" i="6"/>
  <c r="BG10" i="6"/>
  <c r="BG11" i="6"/>
  <c r="BH11" i="6" s="1"/>
  <c r="BG12" i="6"/>
  <c r="BG13" i="6"/>
  <c r="BH13" i="6" s="1"/>
  <c r="BG14" i="6"/>
  <c r="BG15" i="6"/>
  <c r="BH15" i="6" s="1"/>
  <c r="BG16" i="6"/>
  <c r="BG17" i="6"/>
  <c r="BH17" i="6" s="1"/>
  <c r="BG18" i="6"/>
  <c r="BG19" i="6"/>
  <c r="BH19" i="6" s="1"/>
  <c r="BG20" i="6"/>
  <c r="BG21" i="6"/>
  <c r="BG22" i="6"/>
  <c r="BG23" i="6"/>
  <c r="BH23" i="6" s="1"/>
  <c r="BG24" i="6"/>
  <c r="BG25" i="6"/>
  <c r="BH25" i="6" s="1"/>
  <c r="BJ24" i="6"/>
  <c r="BH24" i="6"/>
  <c r="BJ23" i="6"/>
  <c r="BJ22" i="6"/>
  <c r="BH22" i="6"/>
  <c r="BJ20" i="6"/>
  <c r="BH20" i="6"/>
  <c r="BJ19" i="6"/>
  <c r="BJ18" i="6"/>
  <c r="BH18" i="6"/>
  <c r="BJ17" i="6"/>
  <c r="BJ16" i="6"/>
  <c r="BH16" i="6"/>
  <c r="BJ15" i="6"/>
  <c r="BJ14" i="6"/>
  <c r="BH14" i="6"/>
  <c r="BJ13" i="6"/>
  <c r="BJ12" i="6"/>
  <c r="BH12" i="6"/>
  <c r="BJ11" i="6"/>
  <c r="BJ10" i="6"/>
  <c r="BH10" i="6"/>
  <c r="Z31" i="1"/>
  <c r="Y31" i="1"/>
  <c r="X31" i="1"/>
  <c r="V31" i="1"/>
  <c r="U31" i="1"/>
  <c r="T31" i="1"/>
  <c r="R31" i="1"/>
  <c r="Q31" i="1"/>
  <c r="P31" i="1"/>
  <c r="N31" i="1"/>
  <c r="M31" i="1"/>
  <c r="L31" i="1"/>
  <c r="J31" i="1"/>
  <c r="I31" i="1"/>
  <c r="H31" i="1"/>
  <c r="F31" i="1"/>
  <c r="E31" i="1"/>
  <c r="D31" i="1"/>
  <c r="H19" i="2"/>
  <c r="G19" i="2"/>
  <c r="J19" i="2"/>
  <c r="L19" i="2"/>
  <c r="N19" i="2"/>
  <c r="V8" i="2"/>
  <c r="U8" i="2"/>
  <c r="P8" i="2"/>
  <c r="O8" i="2"/>
  <c r="P9" i="2"/>
  <c r="O9" i="2"/>
  <c r="V9" i="2"/>
  <c r="U9" i="2"/>
  <c r="BB20" i="6"/>
  <c r="AD19" i="1"/>
  <c r="R19" i="2"/>
  <c r="AC19" i="1"/>
  <c r="Q19" i="2"/>
  <c r="V17" i="2"/>
  <c r="V18" i="2"/>
  <c r="U17" i="2"/>
  <c r="U18" i="2"/>
  <c r="P10" i="2"/>
  <c r="P11" i="2"/>
  <c r="P12" i="2"/>
  <c r="P13" i="2"/>
  <c r="P14" i="2"/>
  <c r="O10" i="2"/>
  <c r="O11" i="2"/>
  <c r="O12" i="2"/>
  <c r="O13" i="2"/>
  <c r="O14" i="2"/>
  <c r="V10" i="2"/>
  <c r="V11" i="2"/>
  <c r="U10" i="2"/>
  <c r="U11" i="2"/>
  <c r="V12" i="2"/>
  <c r="V13" i="2"/>
  <c r="V14" i="2"/>
  <c r="V15" i="2"/>
  <c r="U12" i="2"/>
  <c r="U13" i="2"/>
  <c r="U14" i="2"/>
  <c r="U15" i="2"/>
  <c r="CN21" i="5"/>
  <c r="CN25" i="5"/>
  <c r="CN26" i="5"/>
  <c r="CI21" i="5"/>
  <c r="CI25" i="5"/>
  <c r="CL21" i="5"/>
  <c r="CL25" i="5"/>
  <c r="CO24" i="5"/>
  <c r="CM24" i="5"/>
  <c r="CJ24" i="5"/>
  <c r="CK24" i="5"/>
  <c r="CM23" i="5"/>
  <c r="CJ23" i="5"/>
  <c r="CK23" i="5" s="1"/>
  <c r="CM22" i="5"/>
  <c r="CJ22" i="5"/>
  <c r="CK22" i="5" s="1"/>
  <c r="CM21" i="5"/>
  <c r="CO20" i="5"/>
  <c r="CM20" i="5"/>
  <c r="CJ20" i="5"/>
  <c r="CK20" i="5" s="1"/>
  <c r="CO19" i="5"/>
  <c r="CM19" i="5"/>
  <c r="CJ19" i="5"/>
  <c r="CK19" i="5" s="1"/>
  <c r="CO18" i="5"/>
  <c r="CM18" i="5"/>
  <c r="CJ18" i="5"/>
  <c r="CK18" i="5" s="1"/>
  <c r="CO17" i="5"/>
  <c r="CM17" i="5"/>
  <c r="CJ17" i="5"/>
  <c r="CK17" i="5" s="1"/>
  <c r="CO16" i="5"/>
  <c r="CM16" i="5"/>
  <c r="CJ16" i="5"/>
  <c r="CK16" i="5" s="1"/>
  <c r="CO15" i="5"/>
  <c r="CM15" i="5"/>
  <c r="CJ15" i="5"/>
  <c r="CK15" i="5" s="1"/>
  <c r="CO14" i="5"/>
  <c r="CM14" i="5"/>
  <c r="CJ14" i="5"/>
  <c r="CK14" i="5" s="1"/>
  <c r="CO13" i="5"/>
  <c r="CM13" i="5"/>
  <c r="CJ13" i="5"/>
  <c r="CK13" i="5" s="1"/>
  <c r="CO12" i="5"/>
  <c r="CM12" i="5"/>
  <c r="CJ12" i="5"/>
  <c r="CK12" i="5" s="1"/>
  <c r="CO11" i="5"/>
  <c r="CM11" i="5"/>
  <c r="CJ11" i="5"/>
  <c r="CK11" i="5" s="1"/>
  <c r="CO10" i="5"/>
  <c r="CM10" i="5"/>
  <c r="CJ10" i="5"/>
  <c r="CK10" i="5" s="1"/>
  <c r="BD21" i="6"/>
  <c r="BD25" i="6"/>
  <c r="BA21" i="6"/>
  <c r="BE21" i="6" s="1"/>
  <c r="BA25" i="6"/>
  <c r="BA26" i="6" s="1"/>
  <c r="BB10" i="6"/>
  <c r="BB11" i="6"/>
  <c r="BB12" i="6"/>
  <c r="BB13" i="6"/>
  <c r="BB14" i="6"/>
  <c r="BB15" i="6"/>
  <c r="BB16" i="6"/>
  <c r="BB17" i="6"/>
  <c r="BB18" i="6"/>
  <c r="BB19" i="6"/>
  <c r="BB22" i="6"/>
  <c r="BB23" i="6"/>
  <c r="BB24" i="6"/>
  <c r="BE24" i="6"/>
  <c r="BC24" i="6"/>
  <c r="BE23" i="6"/>
  <c r="BC23" i="6"/>
  <c r="BE22" i="6"/>
  <c r="BC22" i="6"/>
  <c r="BE20" i="6"/>
  <c r="BC20" i="6"/>
  <c r="BE19" i="6"/>
  <c r="BC19" i="6"/>
  <c r="BE18" i="6"/>
  <c r="BC18" i="6"/>
  <c r="BE17" i="6"/>
  <c r="BC17" i="6"/>
  <c r="BE16" i="6"/>
  <c r="BC16" i="6"/>
  <c r="BE15" i="6"/>
  <c r="BC15" i="6"/>
  <c r="BE14" i="6"/>
  <c r="BC14" i="6"/>
  <c r="BE13" i="6"/>
  <c r="BC13" i="6"/>
  <c r="BE12" i="6"/>
  <c r="BC12" i="6"/>
  <c r="BE11" i="6"/>
  <c r="BC11" i="6"/>
  <c r="BE10" i="6"/>
  <c r="BC10" i="6"/>
  <c r="U16" i="2"/>
  <c r="V16" i="2"/>
  <c r="O17" i="2"/>
  <c r="P17" i="2"/>
  <c r="O18" i="2"/>
  <c r="P18" i="2"/>
  <c r="O15" i="2"/>
  <c r="P15" i="2"/>
  <c r="P16" i="2"/>
  <c r="I19" i="2"/>
  <c r="K19" i="2"/>
  <c r="M19" i="2"/>
  <c r="O16" i="2"/>
  <c r="AE9" i="1"/>
  <c r="F9" i="2" s="1"/>
  <c r="AE10" i="1"/>
  <c r="F10" i="2" s="1"/>
  <c r="AE11" i="1"/>
  <c r="F11" i="2" s="1"/>
  <c r="AE12" i="1"/>
  <c r="F12" i="2" s="1"/>
  <c r="AE13" i="1"/>
  <c r="F13" i="2" s="1"/>
  <c r="AE14" i="1"/>
  <c r="F14" i="2" s="1"/>
  <c r="AE15" i="1"/>
  <c r="F15" i="2" s="1"/>
  <c r="AE16" i="1"/>
  <c r="F16" i="2" s="1"/>
  <c r="AE17" i="1"/>
  <c r="F17" i="2" s="1"/>
  <c r="AE18" i="1"/>
  <c r="F18" i="2" s="1"/>
  <c r="AE8" i="1"/>
  <c r="F8" i="2" s="1"/>
  <c r="AB9" i="1"/>
  <c r="E9" i="2" s="1"/>
  <c r="AB10" i="1"/>
  <c r="E10" i="2" s="1"/>
  <c r="AB11" i="1"/>
  <c r="E11" i="2" s="1"/>
  <c r="AB12" i="1"/>
  <c r="E12" i="2" s="1"/>
  <c r="AB13" i="1"/>
  <c r="E13" i="2" s="1"/>
  <c r="AB14" i="1"/>
  <c r="E14" i="2" s="1"/>
  <c r="AB15" i="1"/>
  <c r="E15" i="2" s="1"/>
  <c r="AB16" i="1"/>
  <c r="E16" i="2" s="1"/>
  <c r="AB17" i="1"/>
  <c r="E17" i="2" s="1"/>
  <c r="AB18" i="1"/>
  <c r="E18" i="2" s="1"/>
  <c r="AB8" i="1"/>
  <c r="AA9" i="1"/>
  <c r="D9" i="2" s="1"/>
  <c r="AA10" i="1"/>
  <c r="D10" i="2" s="1"/>
  <c r="AA11" i="1"/>
  <c r="D11" i="2" s="1"/>
  <c r="AA12" i="1"/>
  <c r="D12" i="2" s="1"/>
  <c r="AA13" i="1"/>
  <c r="D13" i="2" s="1"/>
  <c r="AA14" i="1"/>
  <c r="D14" i="2" s="1"/>
  <c r="AA15" i="1"/>
  <c r="D15" i="2" s="1"/>
  <c r="AA16" i="1"/>
  <c r="D16" i="2" s="1"/>
  <c r="AA17" i="1"/>
  <c r="D17" i="2" s="1"/>
  <c r="AA18" i="1"/>
  <c r="D18" i="2" s="1"/>
  <c r="S18" i="2" s="1"/>
  <c r="AA8" i="1"/>
  <c r="D8" i="2" s="1"/>
  <c r="Z19" i="1"/>
  <c r="Y19" i="1"/>
  <c r="X19" i="1"/>
  <c r="V19" i="1"/>
  <c r="U19" i="1"/>
  <c r="T19" i="1"/>
  <c r="R19" i="1"/>
  <c r="Q19" i="1"/>
  <c r="P19" i="1"/>
  <c r="N19" i="1"/>
  <c r="M19" i="1"/>
  <c r="L19" i="1"/>
  <c r="J19" i="1"/>
  <c r="I19" i="1"/>
  <c r="H19" i="1"/>
  <c r="F19" i="1"/>
  <c r="E19" i="1"/>
  <c r="D19" i="1"/>
  <c r="AW15" i="6"/>
  <c r="CC13" i="5"/>
  <c r="CG21" i="5"/>
  <c r="CG25" i="5"/>
  <c r="CG26" i="5" s="1"/>
  <c r="CB21" i="5"/>
  <c r="CB25" i="5"/>
  <c r="CB26" i="5" s="1"/>
  <c r="CE21" i="5"/>
  <c r="CE25" i="5"/>
  <c r="CE26" i="5" s="1"/>
  <c r="CH25" i="5"/>
  <c r="CH24" i="5"/>
  <c r="CF24" i="5"/>
  <c r="CC24" i="5"/>
  <c r="CD24" i="5" s="1"/>
  <c r="CF23" i="5"/>
  <c r="CC23" i="5"/>
  <c r="CD23" i="5" s="1"/>
  <c r="CF22" i="5"/>
  <c r="CC22" i="5"/>
  <c r="CD22" i="5" s="1"/>
  <c r="CH21" i="5"/>
  <c r="CH20" i="5"/>
  <c r="CF20" i="5"/>
  <c r="CC20" i="5"/>
  <c r="CD20" i="5" s="1"/>
  <c r="CH19" i="5"/>
  <c r="CF19" i="5"/>
  <c r="CC19" i="5"/>
  <c r="CD19" i="5" s="1"/>
  <c r="CH18" i="5"/>
  <c r="CF18" i="5"/>
  <c r="CC18" i="5"/>
  <c r="CD18" i="5" s="1"/>
  <c r="CH17" i="5"/>
  <c r="CF17" i="5"/>
  <c r="CC17" i="5"/>
  <c r="CD17" i="5" s="1"/>
  <c r="CH16" i="5"/>
  <c r="CF16" i="5"/>
  <c r="CC16" i="5"/>
  <c r="CD16" i="5" s="1"/>
  <c r="CH15" i="5"/>
  <c r="CF15" i="5"/>
  <c r="CC15" i="5"/>
  <c r="CD15" i="5" s="1"/>
  <c r="CH14" i="5"/>
  <c r="CF14" i="5"/>
  <c r="CC14" i="5"/>
  <c r="CD14" i="5" s="1"/>
  <c r="CH13" i="5"/>
  <c r="CF13" i="5"/>
  <c r="CD13" i="5"/>
  <c r="CH12" i="5"/>
  <c r="CF12" i="5"/>
  <c r="CC12" i="5"/>
  <c r="CD12" i="5" s="1"/>
  <c r="CH11" i="5"/>
  <c r="CF11" i="5"/>
  <c r="CC11" i="5"/>
  <c r="CD11" i="5" s="1"/>
  <c r="CH10" i="5"/>
  <c r="CF10" i="5"/>
  <c r="CC10" i="5"/>
  <c r="CD10" i="5" s="1"/>
  <c r="AY21" i="6"/>
  <c r="AY25" i="6"/>
  <c r="AV21" i="6"/>
  <c r="AZ21" i="6" s="1"/>
  <c r="AV25" i="6"/>
  <c r="AV26" i="6"/>
  <c r="AW10" i="6"/>
  <c r="AW11" i="6"/>
  <c r="AW12" i="6"/>
  <c r="AW13" i="6"/>
  <c r="AW14" i="6"/>
  <c r="AW16" i="6"/>
  <c r="AW17" i="6"/>
  <c r="AW18" i="6"/>
  <c r="AW19" i="6"/>
  <c r="AW20" i="6"/>
  <c r="AW22" i="6"/>
  <c r="AW23" i="6"/>
  <c r="AX23" i="6" s="1"/>
  <c r="AW24" i="6"/>
  <c r="AZ25" i="6"/>
  <c r="AZ24" i="6"/>
  <c r="AX24" i="6"/>
  <c r="AZ23" i="6"/>
  <c r="AZ22" i="6"/>
  <c r="AZ20" i="6"/>
  <c r="AX20" i="6"/>
  <c r="AZ19" i="6"/>
  <c r="AX19" i="6"/>
  <c r="AZ18" i="6"/>
  <c r="AX18" i="6"/>
  <c r="AZ17" i="6"/>
  <c r="AX17" i="6"/>
  <c r="AZ16" i="6"/>
  <c r="AX16" i="6"/>
  <c r="AZ15" i="6"/>
  <c r="AX15" i="6"/>
  <c r="AZ14" i="6"/>
  <c r="AX14" i="6"/>
  <c r="AZ13" i="6"/>
  <c r="AX13" i="6"/>
  <c r="AZ12" i="6"/>
  <c r="AX12" i="6"/>
  <c r="AZ11" i="6"/>
  <c r="AX11" i="6"/>
  <c r="AZ10" i="6"/>
  <c r="AX10" i="6"/>
  <c r="BU25" i="5"/>
  <c r="BZ21" i="5"/>
  <c r="BV21" i="5" s="1"/>
  <c r="BW21" i="5" s="1"/>
  <c r="BZ25" i="5"/>
  <c r="BZ26" i="5"/>
  <c r="BU21" i="5"/>
  <c r="BU26" i="5"/>
  <c r="BX21" i="5"/>
  <c r="BY21" i="5" s="1"/>
  <c r="BX25" i="5"/>
  <c r="BX26" i="5" s="1"/>
  <c r="BV26" i="5" s="1"/>
  <c r="BW26" i="5" s="1"/>
  <c r="CA25" i="5"/>
  <c r="BY25" i="5"/>
  <c r="CA24" i="5"/>
  <c r="BY24" i="5"/>
  <c r="BV24" i="5"/>
  <c r="BW24" i="5" s="1"/>
  <c r="BY23" i="5"/>
  <c r="BV23" i="5"/>
  <c r="BW23" i="5" s="1"/>
  <c r="BY22" i="5"/>
  <c r="BV22" i="5"/>
  <c r="BW22" i="5" s="1"/>
  <c r="CA21" i="5"/>
  <c r="CA20" i="5"/>
  <c r="BY20" i="5"/>
  <c r="BV20" i="5"/>
  <c r="BW20" i="5" s="1"/>
  <c r="CA19" i="5"/>
  <c r="BY19" i="5"/>
  <c r="BV19" i="5"/>
  <c r="BW19" i="5" s="1"/>
  <c r="CA18" i="5"/>
  <c r="BY18" i="5"/>
  <c r="BV18" i="5"/>
  <c r="BW18" i="5" s="1"/>
  <c r="CA17" i="5"/>
  <c r="BY17" i="5"/>
  <c r="BV17" i="5"/>
  <c r="BW17" i="5" s="1"/>
  <c r="CA16" i="5"/>
  <c r="BY16" i="5"/>
  <c r="BV16" i="5"/>
  <c r="BW16" i="5" s="1"/>
  <c r="CA15" i="5"/>
  <c r="BY15" i="5"/>
  <c r="BV15" i="5"/>
  <c r="BW15" i="5" s="1"/>
  <c r="CA14" i="5"/>
  <c r="BY14" i="5"/>
  <c r="BV14" i="5"/>
  <c r="BW14" i="5" s="1"/>
  <c r="CA13" i="5"/>
  <c r="BY13" i="5"/>
  <c r="BV13" i="5"/>
  <c r="BW13" i="5" s="1"/>
  <c r="CA12" i="5"/>
  <c r="BY12" i="5"/>
  <c r="BV12" i="5"/>
  <c r="BW12" i="5" s="1"/>
  <c r="CA11" i="5"/>
  <c r="BY11" i="5"/>
  <c r="BV11" i="5"/>
  <c r="BW11" i="5" s="1"/>
  <c r="CA10" i="5"/>
  <c r="BY10" i="5"/>
  <c r="BV10" i="5"/>
  <c r="BW10" i="5" s="1"/>
  <c r="AR24" i="6"/>
  <c r="AR23" i="6"/>
  <c r="AR22" i="6"/>
  <c r="AR19" i="6"/>
  <c r="AR20" i="6"/>
  <c r="AR17" i="6"/>
  <c r="AR18" i="6"/>
  <c r="AR16" i="6"/>
  <c r="AR15" i="6"/>
  <c r="AR14" i="6"/>
  <c r="AR13" i="6"/>
  <c r="AR12" i="6"/>
  <c r="AR11" i="6"/>
  <c r="AR21" i="6" s="1"/>
  <c r="AR10" i="6"/>
  <c r="AT21" i="6"/>
  <c r="AU21" i="6" s="1"/>
  <c r="AT25" i="6"/>
  <c r="AT26" i="6"/>
  <c r="AQ21" i="6"/>
  <c r="AQ25" i="6"/>
  <c r="AR25" i="6"/>
  <c r="AS25" i="6"/>
  <c r="AU24" i="6"/>
  <c r="AS24" i="6"/>
  <c r="AU23" i="6"/>
  <c r="AS23" i="6"/>
  <c r="AU22" i="6"/>
  <c r="AS22" i="6"/>
  <c r="AS21" i="6"/>
  <c r="AU20" i="6"/>
  <c r="AS20" i="6"/>
  <c r="AU19" i="6"/>
  <c r="AS19" i="6"/>
  <c r="AU18" i="6"/>
  <c r="AS18" i="6"/>
  <c r="AU17" i="6"/>
  <c r="AS17" i="6"/>
  <c r="AU16" i="6"/>
  <c r="AS16" i="6"/>
  <c r="AU15" i="6"/>
  <c r="AS15" i="6"/>
  <c r="AU14" i="6"/>
  <c r="AS14" i="6"/>
  <c r="AU13" i="6"/>
  <c r="AS13" i="6"/>
  <c r="AU12" i="6"/>
  <c r="AS12" i="6"/>
  <c r="AU11" i="6"/>
  <c r="AS11" i="6"/>
  <c r="AU10" i="6"/>
  <c r="AS10" i="6"/>
  <c r="BQ21" i="5"/>
  <c r="BN21" i="5"/>
  <c r="BS21" i="5"/>
  <c r="BS25" i="5"/>
  <c r="BN25" i="5"/>
  <c r="BQ25" i="5"/>
  <c r="BQ26" i="5" s="1"/>
  <c r="BT25" i="5"/>
  <c r="BT24" i="5"/>
  <c r="BR24" i="5"/>
  <c r="BO24" i="5"/>
  <c r="BP24" i="5" s="1"/>
  <c r="BR23" i="5"/>
  <c r="BO23" i="5"/>
  <c r="BP23" i="5"/>
  <c r="BR22" i="5"/>
  <c r="BO22" i="5"/>
  <c r="BP22" i="5" s="1"/>
  <c r="BT20" i="5"/>
  <c r="BR20" i="5"/>
  <c r="BO20" i="5"/>
  <c r="BP20" i="5" s="1"/>
  <c r="BT19" i="5"/>
  <c r="BR19" i="5"/>
  <c r="BO19" i="5"/>
  <c r="BP19" i="5" s="1"/>
  <c r="BT18" i="5"/>
  <c r="BR18" i="5"/>
  <c r="BO18" i="5"/>
  <c r="BP18" i="5" s="1"/>
  <c r="BT17" i="5"/>
  <c r="BR17" i="5"/>
  <c r="BO17" i="5"/>
  <c r="BP17" i="5" s="1"/>
  <c r="BT16" i="5"/>
  <c r="BR16" i="5"/>
  <c r="BO16" i="5"/>
  <c r="BP16" i="5" s="1"/>
  <c r="BT15" i="5"/>
  <c r="BR15" i="5"/>
  <c r="BO15" i="5"/>
  <c r="BP15" i="5" s="1"/>
  <c r="BT14" i="5"/>
  <c r="BR14" i="5"/>
  <c r="BO14" i="5"/>
  <c r="BP14" i="5" s="1"/>
  <c r="BT13" i="5"/>
  <c r="BR13" i="5"/>
  <c r="BO13" i="5"/>
  <c r="BP13" i="5" s="1"/>
  <c r="BT12" i="5"/>
  <c r="BR12" i="5"/>
  <c r="BO12" i="5"/>
  <c r="BP12" i="5" s="1"/>
  <c r="BT11" i="5"/>
  <c r="BR11" i="5"/>
  <c r="BO11" i="5"/>
  <c r="BP11" i="5" s="1"/>
  <c r="BT10" i="5"/>
  <c r="BR10" i="5"/>
  <c r="BO10" i="5"/>
  <c r="BP10" i="5" s="1"/>
  <c r="BG21" i="5"/>
  <c r="BG25" i="5"/>
  <c r="BJ21" i="5"/>
  <c r="BJ25" i="5"/>
  <c r="BL21" i="5"/>
  <c r="BM21" i="5" s="1"/>
  <c r="BL25" i="5"/>
  <c r="BL26" i="5"/>
  <c r="BH24" i="5"/>
  <c r="BI24" i="5"/>
  <c r="BH23" i="5"/>
  <c r="BI23" i="5"/>
  <c r="BH22" i="5"/>
  <c r="BI22" i="5"/>
  <c r="BH20" i="5"/>
  <c r="BI20" i="5"/>
  <c r="BH19" i="5"/>
  <c r="BI19" i="5"/>
  <c r="BH18" i="5"/>
  <c r="BI18" i="5"/>
  <c r="BH17" i="5"/>
  <c r="BI17" i="5"/>
  <c r="BH16" i="5"/>
  <c r="BI16" i="5"/>
  <c r="BH15" i="5"/>
  <c r="BI15" i="5"/>
  <c r="BH14" i="5"/>
  <c r="BI14" i="5"/>
  <c r="BH13" i="5"/>
  <c r="BI13" i="5"/>
  <c r="BH12" i="5"/>
  <c r="BI12" i="5" s="1"/>
  <c r="BH11" i="5"/>
  <c r="BI11" i="5" s="1"/>
  <c r="BH10" i="5"/>
  <c r="BI10" i="5" s="1"/>
  <c r="BA24" i="5"/>
  <c r="BB24" i="5" s="1"/>
  <c r="BA23" i="5"/>
  <c r="BB23" i="5" s="1"/>
  <c r="BA22" i="5"/>
  <c r="BB22" i="5" s="1"/>
  <c r="BA20" i="5"/>
  <c r="BB20" i="5" s="1"/>
  <c r="BA19" i="5"/>
  <c r="BB19" i="5" s="1"/>
  <c r="BA18" i="5"/>
  <c r="BB18" i="5" s="1"/>
  <c r="BA17" i="5"/>
  <c r="BB17" i="5" s="1"/>
  <c r="BA16" i="5"/>
  <c r="BB16" i="5" s="1"/>
  <c r="BA15" i="5"/>
  <c r="BB15" i="5" s="1"/>
  <c r="BA14" i="5"/>
  <c r="BB14" i="5" s="1"/>
  <c r="BA13" i="5"/>
  <c r="BB13" i="5" s="1"/>
  <c r="BA12" i="5"/>
  <c r="BB12" i="5" s="1"/>
  <c r="BA11" i="5"/>
  <c r="BB11" i="5" s="1"/>
  <c r="BA10" i="5"/>
  <c r="BB10" i="5" s="1"/>
  <c r="AT24" i="5"/>
  <c r="AU24" i="5" s="1"/>
  <c r="AT23" i="5"/>
  <c r="AU23" i="5" s="1"/>
  <c r="AT22" i="5"/>
  <c r="AU22" i="5" s="1"/>
  <c r="AT20" i="5"/>
  <c r="AU20" i="5" s="1"/>
  <c r="AT19" i="5"/>
  <c r="AU19" i="5" s="1"/>
  <c r="AT18" i="5"/>
  <c r="AU18" i="5" s="1"/>
  <c r="AT17" i="5"/>
  <c r="AU17" i="5" s="1"/>
  <c r="AT16" i="5"/>
  <c r="AU16" i="5" s="1"/>
  <c r="AT15" i="5"/>
  <c r="AU15" i="5" s="1"/>
  <c r="AT14" i="5"/>
  <c r="AU14" i="5" s="1"/>
  <c r="AT13" i="5"/>
  <c r="AU13" i="5" s="1"/>
  <c r="AT12" i="5"/>
  <c r="AU12" i="5" s="1"/>
  <c r="AT11" i="5"/>
  <c r="AU11" i="5" s="1"/>
  <c r="AT10" i="5"/>
  <c r="AU10" i="5" s="1"/>
  <c r="AM24" i="5"/>
  <c r="AN24" i="5" s="1"/>
  <c r="AM23" i="5"/>
  <c r="AN23" i="5" s="1"/>
  <c r="AM22" i="5"/>
  <c r="AN22" i="5" s="1"/>
  <c r="AM20" i="5"/>
  <c r="AN20" i="5" s="1"/>
  <c r="AM19" i="5"/>
  <c r="AN19" i="5" s="1"/>
  <c r="AM18" i="5"/>
  <c r="AN18" i="5" s="1"/>
  <c r="AM17" i="5"/>
  <c r="AN17" i="5" s="1"/>
  <c r="AM16" i="5"/>
  <c r="AN16" i="5" s="1"/>
  <c r="AM15" i="5"/>
  <c r="AN15" i="5" s="1"/>
  <c r="AM14" i="5"/>
  <c r="AN14" i="5" s="1"/>
  <c r="AM13" i="5"/>
  <c r="AN13" i="5" s="1"/>
  <c r="AM12" i="5"/>
  <c r="AN12" i="5" s="1"/>
  <c r="AM11" i="5"/>
  <c r="AN11" i="5" s="1"/>
  <c r="AM10" i="5"/>
  <c r="AN10" i="5" s="1"/>
  <c r="AF24" i="5"/>
  <c r="AG24" i="5" s="1"/>
  <c r="AF23" i="5"/>
  <c r="AG23" i="5" s="1"/>
  <c r="AF22" i="5"/>
  <c r="AG22" i="5" s="1"/>
  <c r="AF20" i="5"/>
  <c r="AG20" i="5" s="1"/>
  <c r="AF19" i="5"/>
  <c r="AG19" i="5" s="1"/>
  <c r="AF18" i="5"/>
  <c r="AG18" i="5" s="1"/>
  <c r="AF17" i="5"/>
  <c r="AG17" i="5" s="1"/>
  <c r="AF16" i="5"/>
  <c r="AG16" i="5" s="1"/>
  <c r="AF15" i="5"/>
  <c r="AG15" i="5" s="1"/>
  <c r="AF14" i="5"/>
  <c r="AG14" i="5" s="1"/>
  <c r="AF13" i="5"/>
  <c r="AG13" i="5" s="1"/>
  <c r="AF12" i="5"/>
  <c r="AG12" i="5" s="1"/>
  <c r="AF11" i="5"/>
  <c r="AG11" i="5" s="1"/>
  <c r="AF10" i="5"/>
  <c r="AG10" i="5" s="1"/>
  <c r="Y24" i="5"/>
  <c r="Z24" i="5" s="1"/>
  <c r="Y23" i="5"/>
  <c r="Z23" i="5" s="1"/>
  <c r="Y22" i="5"/>
  <c r="Z22" i="5" s="1"/>
  <c r="Y20" i="5"/>
  <c r="Z20" i="5" s="1"/>
  <c r="Y19" i="5"/>
  <c r="Z19" i="5" s="1"/>
  <c r="Y18" i="5"/>
  <c r="Z18" i="5" s="1"/>
  <c r="Y17" i="5"/>
  <c r="Z17" i="5" s="1"/>
  <c r="Y16" i="5"/>
  <c r="Z16" i="5" s="1"/>
  <c r="Y15" i="5"/>
  <c r="Z15" i="5" s="1"/>
  <c r="Y14" i="5"/>
  <c r="Z14" i="5" s="1"/>
  <c r="Y13" i="5"/>
  <c r="Z13" i="5" s="1"/>
  <c r="Y12" i="5"/>
  <c r="Z12" i="5" s="1"/>
  <c r="Y11" i="5"/>
  <c r="Z11" i="5" s="1"/>
  <c r="Y10" i="5"/>
  <c r="Z10" i="5" s="1"/>
  <c r="V21" i="5"/>
  <c r="T21" i="5"/>
  <c r="Q21" i="5"/>
  <c r="V25" i="5"/>
  <c r="Q25" i="5"/>
  <c r="T25" i="5"/>
  <c r="W25" i="5"/>
  <c r="W24" i="5"/>
  <c r="U24" i="5"/>
  <c r="R24" i="5"/>
  <c r="S24" i="5" s="1"/>
  <c r="W23" i="5"/>
  <c r="U23" i="5"/>
  <c r="R23" i="5"/>
  <c r="S23" i="5" s="1"/>
  <c r="W22" i="5"/>
  <c r="U22" i="5"/>
  <c r="R22" i="5"/>
  <c r="S22" i="5" s="1"/>
  <c r="W21" i="5"/>
  <c r="W20" i="5"/>
  <c r="U20" i="5"/>
  <c r="R20" i="5"/>
  <c r="S20" i="5" s="1"/>
  <c r="W19" i="5"/>
  <c r="U19" i="5"/>
  <c r="R19" i="5"/>
  <c r="S19" i="5" s="1"/>
  <c r="W18" i="5"/>
  <c r="U18" i="5"/>
  <c r="R18" i="5"/>
  <c r="S18" i="5" s="1"/>
  <c r="W17" i="5"/>
  <c r="U17" i="5"/>
  <c r="R17" i="5"/>
  <c r="S17" i="5" s="1"/>
  <c r="W16" i="5"/>
  <c r="U16" i="5"/>
  <c r="R16" i="5"/>
  <c r="S16" i="5" s="1"/>
  <c r="W15" i="5"/>
  <c r="U15" i="5"/>
  <c r="R15" i="5"/>
  <c r="S15" i="5" s="1"/>
  <c r="W14" i="5"/>
  <c r="U14" i="5"/>
  <c r="R14" i="5"/>
  <c r="S14" i="5" s="1"/>
  <c r="W13" i="5"/>
  <c r="U13" i="5"/>
  <c r="R13" i="5"/>
  <c r="S13" i="5" s="1"/>
  <c r="W12" i="5"/>
  <c r="U12" i="5"/>
  <c r="R12" i="5"/>
  <c r="S12" i="5" s="1"/>
  <c r="W11" i="5"/>
  <c r="U11" i="5"/>
  <c r="R11" i="5"/>
  <c r="S11" i="5" s="1"/>
  <c r="W10" i="5"/>
  <c r="U10" i="5"/>
  <c r="R10" i="5"/>
  <c r="S10" i="5" s="1"/>
  <c r="O21" i="5"/>
  <c r="M20" i="5"/>
  <c r="K24" i="5"/>
  <c r="L24" i="5" s="1"/>
  <c r="K23" i="5"/>
  <c r="L23" i="5" s="1"/>
  <c r="K22" i="5"/>
  <c r="L22" i="5" s="1"/>
  <c r="K19" i="5"/>
  <c r="L19" i="5" s="1"/>
  <c r="K18" i="5"/>
  <c r="L18" i="5" s="1"/>
  <c r="K17" i="5"/>
  <c r="L17" i="5"/>
  <c r="K16" i="5"/>
  <c r="L16" i="5"/>
  <c r="K15" i="5"/>
  <c r="L15" i="5"/>
  <c r="K14" i="5"/>
  <c r="L14" i="5"/>
  <c r="K13" i="5"/>
  <c r="L13" i="5"/>
  <c r="K12" i="5"/>
  <c r="L12" i="5"/>
  <c r="K11" i="5"/>
  <c r="L11" i="5"/>
  <c r="K10" i="5"/>
  <c r="L10" i="5"/>
  <c r="D11" i="5"/>
  <c r="E11" i="5" s="1"/>
  <c r="D12" i="5"/>
  <c r="E12" i="5" s="1"/>
  <c r="D13" i="5"/>
  <c r="E13" i="5" s="1"/>
  <c r="D14" i="5"/>
  <c r="E14" i="5" s="1"/>
  <c r="D15" i="5"/>
  <c r="E15" i="5" s="1"/>
  <c r="D16" i="5"/>
  <c r="E16" i="5" s="1"/>
  <c r="D17" i="5"/>
  <c r="E17" i="5" s="1"/>
  <c r="D18" i="5"/>
  <c r="E18" i="5" s="1"/>
  <c r="D19" i="5"/>
  <c r="E19" i="5" s="1"/>
  <c r="D20" i="5"/>
  <c r="E20" i="5" s="1"/>
  <c r="D22" i="5"/>
  <c r="E22" i="5" s="1"/>
  <c r="D23" i="5"/>
  <c r="E23" i="5" s="1"/>
  <c r="D24" i="5"/>
  <c r="E24" i="5" s="1"/>
  <c r="D10" i="5"/>
  <c r="E10" i="5" s="1"/>
  <c r="H21" i="5"/>
  <c r="H25" i="5"/>
  <c r="C21" i="5"/>
  <c r="C25" i="5"/>
  <c r="C26" i="5" s="1"/>
  <c r="F21" i="5"/>
  <c r="F25" i="5"/>
  <c r="I25" i="5"/>
  <c r="I24" i="5"/>
  <c r="G24" i="5"/>
  <c r="I23" i="5"/>
  <c r="G23" i="5"/>
  <c r="I22" i="5"/>
  <c r="G22" i="5"/>
  <c r="I21" i="5"/>
  <c r="I20" i="5"/>
  <c r="G20" i="5"/>
  <c r="I19" i="5"/>
  <c r="G19" i="5"/>
  <c r="I18" i="5"/>
  <c r="G18" i="5"/>
  <c r="I17" i="5"/>
  <c r="G17" i="5"/>
  <c r="I16" i="5"/>
  <c r="G16" i="5"/>
  <c r="I15" i="5"/>
  <c r="G15" i="5"/>
  <c r="I14" i="5"/>
  <c r="G14" i="5"/>
  <c r="I13" i="5"/>
  <c r="G13" i="5"/>
  <c r="I12" i="5"/>
  <c r="G12" i="5"/>
  <c r="I11" i="5"/>
  <c r="G11" i="5"/>
  <c r="I10" i="5"/>
  <c r="G10" i="5"/>
  <c r="AM23" i="6"/>
  <c r="AM24" i="6"/>
  <c r="AN24" i="6" s="1"/>
  <c r="AM22" i="6"/>
  <c r="AM25" i="6" s="1"/>
  <c r="AN25" i="6" s="1"/>
  <c r="AO21" i="6"/>
  <c r="AO25" i="6"/>
  <c r="AL21" i="6"/>
  <c r="AP21" i="6" s="1"/>
  <c r="AL25" i="6"/>
  <c r="AL26" i="6" s="1"/>
  <c r="AM10" i="6"/>
  <c r="AN10" i="6" s="1"/>
  <c r="AM11" i="6"/>
  <c r="AN11" i="6" s="1"/>
  <c r="AM12" i="6"/>
  <c r="AM13" i="6"/>
  <c r="AN13" i="6" s="1"/>
  <c r="AM14" i="6"/>
  <c r="AN14" i="6" s="1"/>
  <c r="AM15" i="6"/>
  <c r="AN15" i="6" s="1"/>
  <c r="AM16" i="6"/>
  <c r="AM17" i="6"/>
  <c r="AN17" i="6" s="1"/>
  <c r="AM18" i="6"/>
  <c r="AN18" i="6" s="1"/>
  <c r="AM19" i="6"/>
  <c r="AN19" i="6" s="1"/>
  <c r="AM20" i="6"/>
  <c r="AP24" i="6"/>
  <c r="AP23" i="6"/>
  <c r="AN23" i="6"/>
  <c r="AP22" i="6"/>
  <c r="AN22" i="6"/>
  <c r="AP20" i="6"/>
  <c r="AN20" i="6"/>
  <c r="AP19" i="6"/>
  <c r="AP18" i="6"/>
  <c r="AP17" i="6"/>
  <c r="AP16" i="6"/>
  <c r="AN16" i="6"/>
  <c r="AP15" i="6"/>
  <c r="AP14" i="6"/>
  <c r="AP13" i="6"/>
  <c r="AP12" i="6"/>
  <c r="AN12" i="6"/>
  <c r="AP11" i="6"/>
  <c r="AP10" i="6"/>
  <c r="BM25" i="5"/>
  <c r="BK25" i="5"/>
  <c r="BM24" i="5"/>
  <c r="BK24" i="5"/>
  <c r="BK23" i="5"/>
  <c r="BK22" i="5"/>
  <c r="BK21" i="5"/>
  <c r="BM20" i="5"/>
  <c r="BK20" i="5"/>
  <c r="BM19" i="5"/>
  <c r="BK19" i="5"/>
  <c r="BM18" i="5"/>
  <c r="BK18" i="5"/>
  <c r="BM17" i="5"/>
  <c r="BK17" i="5"/>
  <c r="BM16" i="5"/>
  <c r="BK16" i="5"/>
  <c r="BM15" i="5"/>
  <c r="BK15" i="5"/>
  <c r="BM14" i="5"/>
  <c r="BK14" i="5"/>
  <c r="BM13" i="5"/>
  <c r="BK13" i="5"/>
  <c r="BM12" i="5"/>
  <c r="BK12" i="5"/>
  <c r="BM11" i="5"/>
  <c r="BK11" i="5"/>
  <c r="BM10" i="5"/>
  <c r="BK10" i="5"/>
  <c r="BF11" i="5"/>
  <c r="BF12" i="5"/>
  <c r="BF13" i="5"/>
  <c r="BF14" i="5"/>
  <c r="BF15" i="5"/>
  <c r="BF16" i="5"/>
  <c r="BF17" i="5"/>
  <c r="BF18" i="5"/>
  <c r="BF19" i="5"/>
  <c r="BF20" i="5"/>
  <c r="BE21" i="5"/>
  <c r="AZ21" i="5"/>
  <c r="BF22" i="5"/>
  <c r="BF23" i="5"/>
  <c r="BF24" i="5"/>
  <c r="BE25" i="5"/>
  <c r="AZ25" i="5"/>
  <c r="BE26" i="5"/>
  <c r="BF10" i="5"/>
  <c r="BD11" i="5"/>
  <c r="BD12" i="5"/>
  <c r="BD13" i="5"/>
  <c r="BD14" i="5"/>
  <c r="BD15" i="5"/>
  <c r="BD16" i="5"/>
  <c r="BD17" i="5"/>
  <c r="BD18" i="5"/>
  <c r="BD19" i="5"/>
  <c r="BD20" i="5"/>
  <c r="BC21" i="5"/>
  <c r="BD22" i="5"/>
  <c r="BD23" i="5"/>
  <c r="BD24" i="5"/>
  <c r="BC25" i="5"/>
  <c r="BD10" i="5"/>
  <c r="AY11" i="5"/>
  <c r="AY12" i="5"/>
  <c r="AY13" i="5"/>
  <c r="AY14" i="5"/>
  <c r="AY15" i="5"/>
  <c r="AY16" i="5"/>
  <c r="AY17" i="5"/>
  <c r="AY18" i="5"/>
  <c r="AY19" i="5"/>
  <c r="AY20" i="5"/>
  <c r="AX21" i="5"/>
  <c r="AS21" i="5"/>
  <c r="AY21" i="5"/>
  <c r="AY22" i="5"/>
  <c r="AY23" i="5"/>
  <c r="AY24" i="5"/>
  <c r="AX25" i="5"/>
  <c r="AS25" i="5"/>
  <c r="AY25" i="5"/>
  <c r="AS26" i="5"/>
  <c r="AY10" i="5"/>
  <c r="AW11" i="5"/>
  <c r="AW12" i="5"/>
  <c r="AW13" i="5"/>
  <c r="AW14" i="5"/>
  <c r="AW15" i="5"/>
  <c r="AW16" i="5"/>
  <c r="AW17" i="5"/>
  <c r="AW18" i="5"/>
  <c r="AW19" i="5"/>
  <c r="AW20" i="5"/>
  <c r="AV21" i="5"/>
  <c r="AW21" i="5"/>
  <c r="AW22" i="5"/>
  <c r="AW23" i="5"/>
  <c r="AW24" i="5"/>
  <c r="AV25" i="5"/>
  <c r="AW25" i="5" s="1"/>
  <c r="AW10" i="5"/>
  <c r="AR11" i="5"/>
  <c r="AR12" i="5"/>
  <c r="AR13" i="5"/>
  <c r="AR14" i="5"/>
  <c r="AR15" i="5"/>
  <c r="AR16" i="5"/>
  <c r="AR17" i="5"/>
  <c r="AR18" i="5"/>
  <c r="AR19" i="5"/>
  <c r="AR20" i="5"/>
  <c r="AQ21" i="5"/>
  <c r="AQ26" i="5" s="1"/>
  <c r="AL21" i="5"/>
  <c r="AR22" i="5"/>
  <c r="AR23" i="5"/>
  <c r="AR24" i="5"/>
  <c r="AQ25" i="5"/>
  <c r="AL25" i="5"/>
  <c r="AR10" i="5"/>
  <c r="AP11" i="5"/>
  <c r="AP12" i="5"/>
  <c r="AP13" i="5"/>
  <c r="AP14" i="5"/>
  <c r="AP15" i="5"/>
  <c r="AP16" i="5"/>
  <c r="AP17" i="5"/>
  <c r="AP18" i="5"/>
  <c r="AP19" i="5"/>
  <c r="AP20" i="5"/>
  <c r="AO21" i="5"/>
  <c r="AP22" i="5"/>
  <c r="AP23" i="5"/>
  <c r="AP24" i="5"/>
  <c r="AO25" i="5"/>
  <c r="AP25" i="5" s="1"/>
  <c r="AP10" i="5"/>
  <c r="AK11" i="5"/>
  <c r="AK12" i="5"/>
  <c r="AK13" i="5"/>
  <c r="AK14" i="5"/>
  <c r="AK15" i="5"/>
  <c r="AK16" i="5"/>
  <c r="AK17" i="5"/>
  <c r="AK18" i="5"/>
  <c r="AK19" i="5"/>
  <c r="AK20" i="5"/>
  <c r="AJ21" i="5"/>
  <c r="AE21" i="5"/>
  <c r="AK21" i="5" s="1"/>
  <c r="AK22" i="5"/>
  <c r="AK23" i="5"/>
  <c r="AK24" i="5"/>
  <c r="AJ25" i="5"/>
  <c r="AE25" i="5"/>
  <c r="AK25" i="5" s="1"/>
  <c r="AE26" i="5"/>
  <c r="AK10" i="5"/>
  <c r="AI11" i="5"/>
  <c r="AI12" i="5"/>
  <c r="AI13" i="5"/>
  <c r="AI14" i="5"/>
  <c r="AI15" i="5"/>
  <c r="AI16" i="5"/>
  <c r="AI17" i="5"/>
  <c r="AI18" i="5"/>
  <c r="AI19" i="5"/>
  <c r="AI20" i="5"/>
  <c r="AH21" i="5"/>
  <c r="AI21" i="5" s="1"/>
  <c r="AI22" i="5"/>
  <c r="AI23" i="5"/>
  <c r="AI24" i="5"/>
  <c r="AH25" i="5"/>
  <c r="AI10" i="5"/>
  <c r="AD11" i="5"/>
  <c r="AD12" i="5"/>
  <c r="AD13" i="5"/>
  <c r="AD14" i="5"/>
  <c r="AD15" i="5"/>
  <c r="AD16" i="5"/>
  <c r="AD17" i="5"/>
  <c r="AD18" i="5"/>
  <c r="AD19" i="5"/>
  <c r="AD20" i="5"/>
  <c r="AC21" i="5"/>
  <c r="X21" i="5"/>
  <c r="AD22" i="5"/>
  <c r="AD23" i="5"/>
  <c r="AD24" i="5"/>
  <c r="AC25" i="5"/>
  <c r="X25" i="5"/>
  <c r="AC26" i="5"/>
  <c r="AD10" i="5"/>
  <c r="AB11" i="5"/>
  <c r="AB12" i="5"/>
  <c r="AB13" i="5"/>
  <c r="AB14" i="5"/>
  <c r="AB15" i="5"/>
  <c r="AB16" i="5"/>
  <c r="AB17" i="5"/>
  <c r="AB18" i="5"/>
  <c r="AB19" i="5"/>
  <c r="AB20" i="5"/>
  <c r="AA21" i="5"/>
  <c r="AB22" i="5"/>
  <c r="AB23" i="5"/>
  <c r="AB24" i="5"/>
  <c r="AA25" i="5"/>
  <c r="AB10" i="5"/>
  <c r="P11" i="5"/>
  <c r="P12" i="5"/>
  <c r="P13" i="5"/>
  <c r="P14" i="5"/>
  <c r="P15" i="5"/>
  <c r="P16" i="5"/>
  <c r="P17" i="5"/>
  <c r="P18" i="5"/>
  <c r="P19" i="5"/>
  <c r="P20" i="5"/>
  <c r="J21" i="5"/>
  <c r="P22" i="5"/>
  <c r="P23" i="5"/>
  <c r="P24" i="5"/>
  <c r="O25" i="5"/>
  <c r="J25" i="5"/>
  <c r="J26" i="5"/>
  <c r="N11" i="5"/>
  <c r="N12" i="5"/>
  <c r="N13" i="5"/>
  <c r="N14" i="5"/>
  <c r="N15" i="5"/>
  <c r="N16" i="5"/>
  <c r="N17" i="5"/>
  <c r="N18" i="5"/>
  <c r="N19" i="5"/>
  <c r="N22" i="5"/>
  <c r="N23" i="5"/>
  <c r="N24" i="5"/>
  <c r="M25" i="5"/>
  <c r="N25" i="5" s="1"/>
  <c r="P10" i="5"/>
  <c r="N10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AH24" i="6"/>
  <c r="AH23" i="6"/>
  <c r="AH22" i="6"/>
  <c r="AH20" i="6"/>
  <c r="AI20" i="6" s="1"/>
  <c r="AH19" i="6"/>
  <c r="AH18" i="6"/>
  <c r="AI18" i="6" s="1"/>
  <c r="AH17" i="6"/>
  <c r="AH16" i="6"/>
  <c r="AI16" i="6" s="1"/>
  <c r="AH15" i="6"/>
  <c r="AH14" i="6"/>
  <c r="AI14" i="6" s="1"/>
  <c r="AH13" i="6"/>
  <c r="AH12" i="6"/>
  <c r="AI12" i="6" s="1"/>
  <c r="AH11" i="6"/>
  <c r="AH10" i="6"/>
  <c r="AI10" i="6" s="1"/>
  <c r="AJ21" i="6"/>
  <c r="AJ25" i="6"/>
  <c r="AJ26" i="6" s="1"/>
  <c r="AG21" i="6"/>
  <c r="AK21" i="6" s="1"/>
  <c r="AG25" i="6"/>
  <c r="AK24" i="6"/>
  <c r="AI24" i="6"/>
  <c r="AK23" i="6"/>
  <c r="AK22" i="6"/>
  <c r="AI22" i="6"/>
  <c r="AK20" i="6"/>
  <c r="AK19" i="6"/>
  <c r="AI19" i="6"/>
  <c r="AK18" i="6"/>
  <c r="AK17" i="6"/>
  <c r="AI17" i="6"/>
  <c r="AK16" i="6"/>
  <c r="AK15" i="6"/>
  <c r="AI15" i="6"/>
  <c r="AK14" i="6"/>
  <c r="AK13" i="6"/>
  <c r="AI13" i="6"/>
  <c r="AK12" i="6"/>
  <c r="AK11" i="6"/>
  <c r="AI11" i="6"/>
  <c r="AK10" i="6"/>
  <c r="AF11" i="6"/>
  <c r="AF12" i="6"/>
  <c r="AF13" i="6"/>
  <c r="AF14" i="6"/>
  <c r="AF15" i="6"/>
  <c r="AF16" i="6"/>
  <c r="AF17" i="6"/>
  <c r="AF18" i="6"/>
  <c r="AF19" i="6"/>
  <c r="AF20" i="6"/>
  <c r="AE21" i="6"/>
  <c r="AB21" i="6"/>
  <c r="AF21" i="6"/>
  <c r="AF22" i="6"/>
  <c r="AF23" i="6"/>
  <c r="AF24" i="6"/>
  <c r="AE25" i="6"/>
  <c r="AB25" i="6"/>
  <c r="AF25" i="6"/>
  <c r="AB26" i="6"/>
  <c r="AC11" i="6"/>
  <c r="AD11" i="6" s="1"/>
  <c r="AC12" i="6"/>
  <c r="AD12" i="6" s="1"/>
  <c r="AC13" i="6"/>
  <c r="AD13" i="6" s="1"/>
  <c r="AC14" i="6"/>
  <c r="AD14" i="6" s="1"/>
  <c r="AC15" i="6"/>
  <c r="AD15" i="6" s="1"/>
  <c r="AC16" i="6"/>
  <c r="AD16" i="6" s="1"/>
  <c r="AC17" i="6"/>
  <c r="AD17" i="6" s="1"/>
  <c r="AC18" i="6"/>
  <c r="AD18" i="6" s="1"/>
  <c r="AC19" i="6"/>
  <c r="AD19" i="6" s="1"/>
  <c r="AC20" i="6"/>
  <c r="AD20" i="6" s="1"/>
  <c r="AC10" i="6"/>
  <c r="AC22" i="6"/>
  <c r="AD22" i="6"/>
  <c r="AC23" i="6"/>
  <c r="AD23" i="6"/>
  <c r="AD24" i="6"/>
  <c r="AC25" i="6"/>
  <c r="AD25" i="6" s="1"/>
  <c r="AF10" i="6"/>
  <c r="AA11" i="6"/>
  <c r="AA12" i="6"/>
  <c r="AA13" i="6"/>
  <c r="AA14" i="6"/>
  <c r="AA15" i="6"/>
  <c r="AA16" i="6"/>
  <c r="AA17" i="6"/>
  <c r="AA18" i="6"/>
  <c r="AA19" i="6"/>
  <c r="AA20" i="6"/>
  <c r="Z21" i="6"/>
  <c r="W21" i="6"/>
  <c r="AA21" i="6"/>
  <c r="AA22" i="6"/>
  <c r="AA23" i="6"/>
  <c r="AA24" i="6"/>
  <c r="Z25" i="6"/>
  <c r="W25" i="6"/>
  <c r="AA25" i="6"/>
  <c r="W26" i="6"/>
  <c r="X11" i="6"/>
  <c r="Y11" i="6" s="1"/>
  <c r="X12" i="6"/>
  <c r="Y12" i="6" s="1"/>
  <c r="X13" i="6"/>
  <c r="Y13" i="6" s="1"/>
  <c r="X14" i="6"/>
  <c r="Y14" i="6" s="1"/>
  <c r="X15" i="6"/>
  <c r="Y15" i="6" s="1"/>
  <c r="X16" i="6"/>
  <c r="Y16" i="6" s="1"/>
  <c r="X17" i="6"/>
  <c r="Y17" i="6" s="1"/>
  <c r="X18" i="6"/>
  <c r="Y18" i="6" s="1"/>
  <c r="X19" i="6"/>
  <c r="Y19" i="6" s="1"/>
  <c r="X20" i="6"/>
  <c r="Y20" i="6" s="1"/>
  <c r="X10" i="6"/>
  <c r="X22" i="6"/>
  <c r="Y22" i="6"/>
  <c r="X23" i="6"/>
  <c r="Y23" i="6"/>
  <c r="Y24" i="6"/>
  <c r="X25" i="6"/>
  <c r="Y25" i="6" s="1"/>
  <c r="AA10" i="6"/>
  <c r="V11" i="6"/>
  <c r="V12" i="6"/>
  <c r="V13" i="6"/>
  <c r="V14" i="6"/>
  <c r="V15" i="6"/>
  <c r="V16" i="6"/>
  <c r="V17" i="6"/>
  <c r="V18" i="6"/>
  <c r="V19" i="6"/>
  <c r="V20" i="6"/>
  <c r="U21" i="6"/>
  <c r="R21" i="6"/>
  <c r="V21" i="6"/>
  <c r="V22" i="6"/>
  <c r="V23" i="6"/>
  <c r="V24" i="6"/>
  <c r="U25" i="6"/>
  <c r="R25" i="6"/>
  <c r="V25" i="6"/>
  <c r="R26" i="6"/>
  <c r="S11" i="6"/>
  <c r="T11" i="6" s="1"/>
  <c r="S12" i="6"/>
  <c r="T12" i="6" s="1"/>
  <c r="S13" i="6"/>
  <c r="T13" i="6" s="1"/>
  <c r="S14" i="6"/>
  <c r="T14" i="6" s="1"/>
  <c r="S15" i="6"/>
  <c r="T15" i="6" s="1"/>
  <c r="S16" i="6"/>
  <c r="T16" i="6" s="1"/>
  <c r="S17" i="6"/>
  <c r="T17" i="6" s="1"/>
  <c r="S18" i="6"/>
  <c r="T18" i="6" s="1"/>
  <c r="S19" i="6"/>
  <c r="T19" i="6" s="1"/>
  <c r="S20" i="6"/>
  <c r="T20" i="6" s="1"/>
  <c r="S10" i="6"/>
  <c r="S22" i="6"/>
  <c r="T22" i="6"/>
  <c r="S23" i="6"/>
  <c r="T23" i="6"/>
  <c r="T24" i="6"/>
  <c r="S25" i="6"/>
  <c r="T25" i="6" s="1"/>
  <c r="V10" i="6"/>
  <c r="Q11" i="6"/>
  <c r="Q12" i="6"/>
  <c r="Q13" i="6"/>
  <c r="Q14" i="6"/>
  <c r="Q15" i="6"/>
  <c r="Q16" i="6"/>
  <c r="Q17" i="6"/>
  <c r="Q18" i="6"/>
  <c r="Q19" i="6"/>
  <c r="Q20" i="6"/>
  <c r="P21" i="6"/>
  <c r="M21" i="6"/>
  <c r="Q21" i="6"/>
  <c r="Q22" i="6"/>
  <c r="Q23" i="6"/>
  <c r="Q24" i="6"/>
  <c r="P25" i="6"/>
  <c r="M25" i="6"/>
  <c r="Q25" i="6"/>
  <c r="M26" i="6"/>
  <c r="N11" i="6"/>
  <c r="O11" i="6" s="1"/>
  <c r="N12" i="6"/>
  <c r="O12" i="6" s="1"/>
  <c r="N13" i="6"/>
  <c r="O13" i="6" s="1"/>
  <c r="N14" i="6"/>
  <c r="O14" i="6" s="1"/>
  <c r="N15" i="6"/>
  <c r="O15" i="6" s="1"/>
  <c r="N16" i="6"/>
  <c r="O16" i="6" s="1"/>
  <c r="N17" i="6"/>
  <c r="O17" i="6" s="1"/>
  <c r="N18" i="6"/>
  <c r="O18" i="6" s="1"/>
  <c r="N19" i="6"/>
  <c r="O19" i="6" s="1"/>
  <c r="N20" i="6"/>
  <c r="O20" i="6" s="1"/>
  <c r="N10" i="6"/>
  <c r="N22" i="6"/>
  <c r="O22" i="6"/>
  <c r="N23" i="6"/>
  <c r="O23" i="6"/>
  <c r="O24" i="6"/>
  <c r="N25" i="6"/>
  <c r="O25" i="6" s="1"/>
  <c r="Q10" i="6"/>
  <c r="K11" i="6"/>
  <c r="H11" i="6"/>
  <c r="K12" i="6"/>
  <c r="H12" i="6"/>
  <c r="K13" i="6"/>
  <c r="H13" i="6"/>
  <c r="K14" i="6"/>
  <c r="H14" i="6"/>
  <c r="K15" i="6"/>
  <c r="H15" i="6"/>
  <c r="K16" i="6"/>
  <c r="H16" i="6"/>
  <c r="K17" i="6"/>
  <c r="H17" i="6"/>
  <c r="K18" i="6"/>
  <c r="H18" i="6"/>
  <c r="K19" i="6"/>
  <c r="H19" i="6"/>
  <c r="K20" i="6"/>
  <c r="H20" i="6"/>
  <c r="K10" i="6"/>
  <c r="K21" i="6" s="1"/>
  <c r="H10" i="6"/>
  <c r="L22" i="6"/>
  <c r="L23" i="6"/>
  <c r="L24" i="6"/>
  <c r="K25" i="6"/>
  <c r="H25" i="6"/>
  <c r="I22" i="6"/>
  <c r="J22" i="6"/>
  <c r="I23" i="6"/>
  <c r="J23" i="6"/>
  <c r="J24" i="6"/>
  <c r="I25" i="6"/>
  <c r="J25" i="6" s="1"/>
  <c r="G22" i="6"/>
  <c r="G23" i="6"/>
  <c r="G24" i="6"/>
  <c r="F25" i="6"/>
  <c r="C25" i="6"/>
  <c r="F21" i="6"/>
  <c r="F26" i="6" s="1"/>
  <c r="G26" i="6" s="1"/>
  <c r="C21" i="6"/>
  <c r="C26" i="6" s="1"/>
  <c r="D22" i="6"/>
  <c r="E22" i="6" s="1"/>
  <c r="D23" i="6"/>
  <c r="E23" i="6" s="1"/>
  <c r="E24" i="6"/>
  <c r="D10" i="6"/>
  <c r="D11" i="6"/>
  <c r="D12" i="6"/>
  <c r="D13" i="6"/>
  <c r="D14" i="6"/>
  <c r="D15" i="6"/>
  <c r="D16" i="6"/>
  <c r="D17" i="6"/>
  <c r="D18" i="6"/>
  <c r="D19" i="6"/>
  <c r="D20" i="6"/>
  <c r="G11" i="6"/>
  <c r="G12" i="6"/>
  <c r="G13" i="6"/>
  <c r="G14" i="6"/>
  <c r="G15" i="6"/>
  <c r="G16" i="6"/>
  <c r="G17" i="6"/>
  <c r="G18" i="6"/>
  <c r="G19" i="6"/>
  <c r="G20" i="6"/>
  <c r="E11" i="6"/>
  <c r="E12" i="6"/>
  <c r="E13" i="6"/>
  <c r="E14" i="6"/>
  <c r="E15" i="6"/>
  <c r="E16" i="6"/>
  <c r="E17" i="6"/>
  <c r="E18" i="6"/>
  <c r="E19" i="6"/>
  <c r="E20" i="6"/>
  <c r="G10" i="6"/>
  <c r="A11" i="6"/>
  <c r="A12" i="6" s="1"/>
  <c r="A13" i="6" s="1"/>
  <c r="A14" i="6" s="1"/>
  <c r="A15" i="6" s="1"/>
  <c r="A16" i="6" s="1"/>
  <c r="A17" i="6" s="1"/>
  <c r="A18" i="6" s="1"/>
  <c r="A19" i="6" s="1"/>
  <c r="A20" i="6" s="1"/>
  <c r="AA51" i="1" l="1"/>
  <c r="D63" i="2" s="1"/>
  <c r="AB53" i="1"/>
  <c r="E65" i="2" s="1"/>
  <c r="AB38" i="1"/>
  <c r="E43" i="2" s="1"/>
  <c r="AB41" i="1"/>
  <c r="E46" i="2" s="1"/>
  <c r="AB51" i="1"/>
  <c r="E63" i="2" s="1"/>
  <c r="AA53" i="1"/>
  <c r="D65" i="2" s="1"/>
  <c r="AB34" i="1"/>
  <c r="E39" i="2" s="1"/>
  <c r="T39" i="2" s="1"/>
  <c r="AA34" i="1"/>
  <c r="D39" i="2" s="1"/>
  <c r="S39" i="2" s="1"/>
  <c r="AA58" i="1"/>
  <c r="D70" i="2" s="1"/>
  <c r="AA42" i="1"/>
  <c r="D47" i="2" s="1"/>
  <c r="AA39" i="1"/>
  <c r="D44" i="2" s="1"/>
  <c r="AA41" i="1"/>
  <c r="D46" i="2" s="1"/>
  <c r="AA48" i="1"/>
  <c r="D60" i="2" s="1"/>
  <c r="AA37" i="1"/>
  <c r="D42" i="2" s="1"/>
  <c r="AB43" i="1"/>
  <c r="E48" i="2" s="1"/>
  <c r="T48" i="2" s="1"/>
  <c r="AA56" i="1"/>
  <c r="D68" i="2" s="1"/>
  <c r="S68" i="2" s="1"/>
  <c r="AB48" i="1"/>
  <c r="AA40" i="1"/>
  <c r="D45" i="2" s="1"/>
  <c r="AB56" i="1"/>
  <c r="E68" i="2" s="1"/>
  <c r="AA57" i="1"/>
  <c r="D69" i="2" s="1"/>
  <c r="S69" i="2" s="1"/>
  <c r="J50" i="2"/>
  <c r="T43" i="2"/>
  <c r="S16" i="2"/>
  <c r="D25" i="6"/>
  <c r="E25" i="6" s="1"/>
  <c r="L25" i="6"/>
  <c r="AI25" i="5"/>
  <c r="F26" i="5"/>
  <c r="D21" i="5"/>
  <c r="E21" i="5" s="1"/>
  <c r="BG26" i="5"/>
  <c r="BS26" i="5"/>
  <c r="BT21" i="5"/>
  <c r="AW25" i="6"/>
  <c r="AX25" i="6" s="1"/>
  <c r="CC25" i="5"/>
  <c r="CD25" i="5" s="1"/>
  <c r="BB21" i="6"/>
  <c r="BC21" i="6" s="1"/>
  <c r="BL25" i="6"/>
  <c r="BM25" i="6" s="1"/>
  <c r="BN26" i="6"/>
  <c r="CX25" i="5"/>
  <c r="CY25" i="5" s="1"/>
  <c r="BP26" i="6"/>
  <c r="V26" i="5"/>
  <c r="U21" i="5"/>
  <c r="AW21" i="6"/>
  <c r="AX21" i="6" s="1"/>
  <c r="CC26" i="5"/>
  <c r="CD26" i="5" s="1"/>
  <c r="BB25" i="6"/>
  <c r="BC25" i="6" s="1"/>
  <c r="BL21" i="6"/>
  <c r="CX26" i="5"/>
  <c r="CY26" i="5" s="1"/>
  <c r="S14" i="2"/>
  <c r="S12" i="2"/>
  <c r="S10" i="2"/>
  <c r="T9" i="2"/>
  <c r="S43" i="2"/>
  <c r="S8" i="2"/>
  <c r="S9" i="2"/>
  <c r="T63" i="2"/>
  <c r="I14" i="6"/>
  <c r="J14" i="6" s="1"/>
  <c r="L11" i="6"/>
  <c r="AB36" i="1"/>
  <c r="F71" i="2"/>
  <c r="S17" i="2"/>
  <c r="S15" i="2"/>
  <c r="S13" i="2"/>
  <c r="S11" i="2"/>
  <c r="T14" i="2"/>
  <c r="T12" i="2"/>
  <c r="T10" i="2"/>
  <c r="T16" i="2"/>
  <c r="AB50" i="1"/>
  <c r="E62" i="2" s="1"/>
  <c r="S63" i="2"/>
  <c r="T70" i="2"/>
  <c r="T69" i="2"/>
  <c r="O37" i="2"/>
  <c r="S45" i="2"/>
  <c r="T47" i="2"/>
  <c r="T65" i="2"/>
  <c r="T62" i="2"/>
  <c r="AB40" i="1"/>
  <c r="E45" i="2" s="1"/>
  <c r="T45" i="2" s="1"/>
  <c r="AA36" i="1"/>
  <c r="D41" i="2" s="1"/>
  <c r="S41" i="2" s="1"/>
  <c r="AB55" i="1"/>
  <c r="E67" i="2" s="1"/>
  <c r="T67" i="2" s="1"/>
  <c r="AB54" i="1"/>
  <c r="E66" i="2" s="1"/>
  <c r="T66" i="2" s="1"/>
  <c r="AA54" i="1"/>
  <c r="D66" i="2" s="1"/>
  <c r="S66" i="2" s="1"/>
  <c r="T82" i="2"/>
  <c r="I20" i="6"/>
  <c r="J20" i="6" s="1"/>
  <c r="L19" i="6"/>
  <c r="I17" i="6"/>
  <c r="J17" i="6" s="1"/>
  <c r="L15" i="6"/>
  <c r="L12" i="6"/>
  <c r="AB73" i="1"/>
  <c r="E72" i="2"/>
  <c r="D72" i="2"/>
  <c r="I11" i="6"/>
  <c r="J11" i="6" s="1"/>
  <c r="T17" i="2"/>
  <c r="T13" i="2"/>
  <c r="T11" i="2"/>
  <c r="P19" i="2"/>
  <c r="S36" i="2"/>
  <c r="S35" i="2"/>
  <c r="S34" i="2"/>
  <c r="S33" i="2"/>
  <c r="S32" i="2"/>
  <c r="S31" i="2"/>
  <c r="S30" i="2"/>
  <c r="S29" i="2"/>
  <c r="S28" i="2"/>
  <c r="S27" i="2"/>
  <c r="S26" i="2"/>
  <c r="S48" i="2"/>
  <c r="S65" i="2"/>
  <c r="O83" i="2"/>
  <c r="L20" i="6"/>
  <c r="I19" i="6"/>
  <c r="J19" i="6" s="1"/>
  <c r="I18" i="6"/>
  <c r="J18" i="6" s="1"/>
  <c r="U50" i="2"/>
  <c r="L17" i="6"/>
  <c r="I15" i="6"/>
  <c r="J15" i="6" s="1"/>
  <c r="S42" i="2"/>
  <c r="V50" i="2"/>
  <c r="AB19" i="1"/>
  <c r="E19" i="2" s="1"/>
  <c r="U19" i="2"/>
  <c r="AA31" i="1"/>
  <c r="D37" i="2" s="1"/>
  <c r="AB49" i="1"/>
  <c r="E61" i="2" s="1"/>
  <c r="T61" i="2" s="1"/>
  <c r="AA19" i="1"/>
  <c r="D19" i="2" s="1"/>
  <c r="V19" i="2"/>
  <c r="E8" i="2"/>
  <c r="T8" i="2" s="1"/>
  <c r="AE19" i="1"/>
  <c r="F19" i="2" s="1"/>
  <c r="AE31" i="1"/>
  <c r="F37" i="2" s="1"/>
  <c r="AB31" i="1"/>
  <c r="E37" i="2" s="1"/>
  <c r="V37" i="2"/>
  <c r="AA55" i="1"/>
  <c r="D67" i="2" s="1"/>
  <c r="S67" i="2" s="1"/>
  <c r="AE45" i="1"/>
  <c r="F50" i="2" s="1"/>
  <c r="U37" i="2"/>
  <c r="H21" i="6"/>
  <c r="L10" i="6"/>
  <c r="L13" i="6"/>
  <c r="I13" i="6"/>
  <c r="J13" i="6" s="1"/>
  <c r="G25" i="6"/>
  <c r="I12" i="6"/>
  <c r="J12" i="6" s="1"/>
  <c r="L16" i="6"/>
  <c r="I16" i="6"/>
  <c r="J16" i="6" s="1"/>
  <c r="BM26" i="5"/>
  <c r="BV25" i="5"/>
  <c r="BW25" i="5" s="1"/>
  <c r="AX22" i="6"/>
  <c r="AY26" i="6"/>
  <c r="AZ26" i="6" s="1"/>
  <c r="CF25" i="5"/>
  <c r="CC21" i="5"/>
  <c r="CD21" i="5" s="1"/>
  <c r="CQ25" i="5"/>
  <c r="CR25" i="5" s="1"/>
  <c r="CU26" i="5"/>
  <c r="CQ26" i="5" s="1"/>
  <c r="CR26" i="5" s="1"/>
  <c r="O50" i="2"/>
  <c r="L45" i="1"/>
  <c r="T45" i="1"/>
  <c r="T42" i="2"/>
  <c r="E45" i="1"/>
  <c r="I45" i="1"/>
  <c r="M45" i="1"/>
  <c r="S44" i="2"/>
  <c r="S47" i="2"/>
  <c r="S46" i="2"/>
  <c r="T46" i="2"/>
  <c r="AB44" i="1"/>
  <c r="E49" i="2" s="1"/>
  <c r="T49" i="2" s="1"/>
  <c r="AA44" i="1"/>
  <c r="D49" i="2" s="1"/>
  <c r="S49" i="2" s="1"/>
  <c r="O64" i="2"/>
  <c r="O71" i="2" s="1"/>
  <c r="L71" i="2"/>
  <c r="U59" i="1"/>
  <c r="AC59" i="1"/>
  <c r="L18" i="6"/>
  <c r="L14" i="6"/>
  <c r="AK25" i="6"/>
  <c r="AG26" i="6"/>
  <c r="AK26" i="6" s="1"/>
  <c r="AH21" i="6"/>
  <c r="AI21" i="6" s="1"/>
  <c r="AH26" i="5"/>
  <c r="AI26" i="5" s="1"/>
  <c r="AF25" i="5"/>
  <c r="AG25" i="5" s="1"/>
  <c r="AF21" i="5"/>
  <c r="AG21" i="5" s="1"/>
  <c r="G25" i="5"/>
  <c r="D25" i="5"/>
  <c r="E25" i="5" s="1"/>
  <c r="H26" i="5"/>
  <c r="D26" i="5" s="1"/>
  <c r="E26" i="5" s="1"/>
  <c r="R21" i="5"/>
  <c r="S21" i="5" s="1"/>
  <c r="T26" i="5"/>
  <c r="BR25" i="5"/>
  <c r="T15" i="2"/>
  <c r="BM10" i="6"/>
  <c r="BO21" i="6"/>
  <c r="DA25" i="5"/>
  <c r="CX21" i="5"/>
  <c r="CY21" i="5" s="1"/>
  <c r="T68" i="2"/>
  <c r="T59" i="1"/>
  <c r="P59" i="1"/>
  <c r="L59" i="1"/>
  <c r="H59" i="1"/>
  <c r="E59" i="1"/>
  <c r="M59" i="1"/>
  <c r="S70" i="2"/>
  <c r="N21" i="6"/>
  <c r="O10" i="6"/>
  <c r="P26" i="6"/>
  <c r="Q26" i="6" s="1"/>
  <c r="S21" i="6"/>
  <c r="T10" i="6"/>
  <c r="U26" i="6"/>
  <c r="V26" i="6" s="1"/>
  <c r="X21" i="6"/>
  <c r="Y10" i="6"/>
  <c r="Z26" i="6"/>
  <c r="AA26" i="6" s="1"/>
  <c r="AC21" i="6"/>
  <c r="AD10" i="6"/>
  <c r="AE26" i="6"/>
  <c r="AF26" i="6" s="1"/>
  <c r="AB21" i="5"/>
  <c r="AA26" i="5"/>
  <c r="Y25" i="5"/>
  <c r="Z25" i="5" s="1"/>
  <c r="AD25" i="5"/>
  <c r="AM21" i="5"/>
  <c r="AN21" i="5" s="1"/>
  <c r="AR21" i="5"/>
  <c r="AL26" i="5"/>
  <c r="AX26" i="5"/>
  <c r="AY26" i="5" s="1"/>
  <c r="BD21" i="5"/>
  <c r="BC26" i="5"/>
  <c r="BA25" i="5"/>
  <c r="BB25" i="5" s="1"/>
  <c r="BF25" i="5"/>
  <c r="O26" i="5"/>
  <c r="P26" i="5" s="1"/>
  <c r="P21" i="5"/>
  <c r="BN26" i="5"/>
  <c r="BR26" i="5" s="1"/>
  <c r="BR21" i="5"/>
  <c r="CA26" i="5"/>
  <c r="AW26" i="6"/>
  <c r="AX26" i="6" s="1"/>
  <c r="CL26" i="5"/>
  <c r="CM25" i="5"/>
  <c r="BL26" i="6"/>
  <c r="BM21" i="6"/>
  <c r="E41" i="2"/>
  <c r="T41" i="2" s="1"/>
  <c r="AA35" i="1"/>
  <c r="D45" i="1"/>
  <c r="U45" i="1"/>
  <c r="P50" i="2"/>
  <c r="Q45" i="1"/>
  <c r="DD26" i="5"/>
  <c r="DJ26" i="5" s="1"/>
  <c r="DJ25" i="5"/>
  <c r="DE25" i="5"/>
  <c r="DF25" i="5" s="1"/>
  <c r="DJ21" i="5"/>
  <c r="DE21" i="5"/>
  <c r="DF21" i="5" s="1"/>
  <c r="D59" i="1"/>
  <c r="AA49" i="1"/>
  <c r="S60" i="2"/>
  <c r="E60" i="2"/>
  <c r="AB52" i="1"/>
  <c r="E64" i="2" s="1"/>
  <c r="T64" i="2" s="1"/>
  <c r="V71" i="2"/>
  <c r="G21" i="6"/>
  <c r="D21" i="6"/>
  <c r="E10" i="6"/>
  <c r="I10" i="6"/>
  <c r="K26" i="6"/>
  <c r="AH25" i="6"/>
  <c r="AI25" i="6" s="1"/>
  <c r="AI23" i="6"/>
  <c r="K25" i="5"/>
  <c r="L25" i="5" s="1"/>
  <c r="P25" i="5"/>
  <c r="AB25" i="5"/>
  <c r="Y21" i="5"/>
  <c r="Z21" i="5" s="1"/>
  <c r="AD21" i="5"/>
  <c r="X26" i="5"/>
  <c r="AJ26" i="5"/>
  <c r="AK26" i="5" s="1"/>
  <c r="AP21" i="5"/>
  <c r="AO26" i="5"/>
  <c r="AM25" i="5"/>
  <c r="AN25" i="5" s="1"/>
  <c r="AR25" i="5"/>
  <c r="AV26" i="5"/>
  <c r="AW26" i="5" s="1"/>
  <c r="AT25" i="5"/>
  <c r="AU25" i="5" s="1"/>
  <c r="AT21" i="5"/>
  <c r="AU21" i="5" s="1"/>
  <c r="BD25" i="5"/>
  <c r="BA21" i="5"/>
  <c r="BB21" i="5" s="1"/>
  <c r="BF21" i="5"/>
  <c r="AZ26" i="5"/>
  <c r="AM21" i="6"/>
  <c r="AO26" i="6"/>
  <c r="AP26" i="6" s="1"/>
  <c r="AP25" i="6"/>
  <c r="G26" i="5"/>
  <c r="G21" i="5"/>
  <c r="I26" i="5"/>
  <c r="M21" i="5"/>
  <c r="K20" i="5"/>
  <c r="L20" i="5" s="1"/>
  <c r="N20" i="5"/>
  <c r="R25" i="5"/>
  <c r="S25" i="5" s="1"/>
  <c r="Q26" i="5"/>
  <c r="U25" i="5"/>
  <c r="BJ26" i="5"/>
  <c r="BK26" i="5" s="1"/>
  <c r="BH25" i="5"/>
  <c r="BI25" i="5" s="1"/>
  <c r="BH26" i="5"/>
  <c r="BI26" i="5" s="1"/>
  <c r="BH21" i="5"/>
  <c r="BI21" i="5" s="1"/>
  <c r="BO21" i="5"/>
  <c r="BP21" i="5" s="1"/>
  <c r="BO25" i="5"/>
  <c r="BP25" i="5" s="1"/>
  <c r="AQ26" i="6"/>
  <c r="AU26" i="6" s="1"/>
  <c r="AU25" i="6"/>
  <c r="AR26" i="6"/>
  <c r="AS26" i="6" s="1"/>
  <c r="BY26" i="5"/>
  <c r="BG26" i="6"/>
  <c r="BH21" i="6"/>
  <c r="P37" i="2"/>
  <c r="I50" i="2"/>
  <c r="AD59" i="1"/>
  <c r="DH25" i="5"/>
  <c r="CF26" i="5"/>
  <c r="CF21" i="5"/>
  <c r="CH26" i="5"/>
  <c r="T18" i="2"/>
  <c r="BB26" i="6"/>
  <c r="BC26" i="6" s="1"/>
  <c r="BD26" i="6"/>
  <c r="BE26" i="6" s="1"/>
  <c r="BE25" i="6"/>
  <c r="CI26" i="5"/>
  <c r="CO25" i="5"/>
  <c r="CJ25" i="5"/>
  <c r="CK25" i="5" s="1"/>
  <c r="CO21" i="5"/>
  <c r="CJ21" i="5"/>
  <c r="CK21" i="5" s="1"/>
  <c r="O19" i="2"/>
  <c r="BF26" i="6"/>
  <c r="BJ26" i="6" s="1"/>
  <c r="BJ25" i="6"/>
  <c r="CT26" i="5"/>
  <c r="CT21" i="5"/>
  <c r="CV26" i="5"/>
  <c r="T36" i="2"/>
  <c r="T35" i="2"/>
  <c r="T34" i="2"/>
  <c r="T33" i="2"/>
  <c r="T32" i="2"/>
  <c r="T31" i="2"/>
  <c r="T30" i="2"/>
  <c r="T29" i="2"/>
  <c r="T28" i="2"/>
  <c r="T27" i="2"/>
  <c r="T26" i="2"/>
  <c r="BK26" i="6"/>
  <c r="BO26" i="6" s="1"/>
  <c r="BO25" i="6"/>
  <c r="DA26" i="5"/>
  <c r="DA21" i="5"/>
  <c r="DC26" i="5"/>
  <c r="H45" i="1"/>
  <c r="P45" i="1"/>
  <c r="BQ21" i="6"/>
  <c r="BR10" i="6"/>
  <c r="BS26" i="6"/>
  <c r="BT26" i="6" s="1"/>
  <c r="BT25" i="6"/>
  <c r="AE59" i="1"/>
  <c r="BQ25" i="6"/>
  <c r="BR25" i="6" s="1"/>
  <c r="BR22" i="6"/>
  <c r="U71" i="2"/>
  <c r="I59" i="1"/>
  <c r="Q59" i="1"/>
  <c r="AA52" i="1"/>
  <c r="D64" i="2" s="1"/>
  <c r="P71" i="2"/>
  <c r="AA50" i="1"/>
  <c r="D62" i="2" s="1"/>
  <c r="S62" i="2" s="1"/>
  <c r="S64" i="2" l="1"/>
  <c r="AP26" i="5"/>
  <c r="S19" i="2"/>
  <c r="AB45" i="1"/>
  <c r="E50" i="2" s="1"/>
  <c r="S37" i="2"/>
  <c r="E83" i="2"/>
  <c r="T83" i="2" s="1"/>
  <c r="T72" i="2"/>
  <c r="S72" i="2"/>
  <c r="S83" i="2" s="1"/>
  <c r="D83" i="2"/>
  <c r="T50" i="2"/>
  <c r="T37" i="2"/>
  <c r="T19" i="2"/>
  <c r="BH26" i="6"/>
  <c r="AH26" i="6"/>
  <c r="AI26" i="6" s="1"/>
  <c r="AB59" i="1"/>
  <c r="BD26" i="5"/>
  <c r="AF26" i="5"/>
  <c r="AG26" i="5" s="1"/>
  <c r="L21" i="6"/>
  <c r="H26" i="6"/>
  <c r="L26" i="6" s="1"/>
  <c r="BR21" i="6"/>
  <c r="BQ26" i="6"/>
  <c r="BR26" i="6" s="1"/>
  <c r="R26" i="5"/>
  <c r="S26" i="5" s="1"/>
  <c r="W26" i="5"/>
  <c r="M26" i="5"/>
  <c r="N21" i="5"/>
  <c r="AM26" i="6"/>
  <c r="AN26" i="6" s="1"/>
  <c r="AN21" i="6"/>
  <c r="Y26" i="5"/>
  <c r="Z26" i="5" s="1"/>
  <c r="AD26" i="5"/>
  <c r="I21" i="6"/>
  <c r="J10" i="6"/>
  <c r="E21" i="6"/>
  <c r="D26" i="6"/>
  <c r="E26" i="6" s="1"/>
  <c r="AA59" i="1"/>
  <c r="D61" i="2"/>
  <c r="D40" i="2"/>
  <c r="S40" i="2" s="1"/>
  <c r="S50" i="2" s="1"/>
  <c r="AA45" i="1"/>
  <c r="D50" i="2" s="1"/>
  <c r="Y21" i="6"/>
  <c r="X26" i="6"/>
  <c r="Y26" i="6" s="1"/>
  <c r="O21" i="6"/>
  <c r="N26" i="6"/>
  <c r="O26" i="6" s="1"/>
  <c r="CJ26" i="5"/>
  <c r="CK26" i="5" s="1"/>
  <c r="CO26" i="5"/>
  <c r="BA26" i="5"/>
  <c r="BB26" i="5" s="1"/>
  <c r="BF26" i="5"/>
  <c r="AT26" i="5"/>
  <c r="AU26" i="5" s="1"/>
  <c r="E71" i="2"/>
  <c r="T60" i="2"/>
  <c r="T71" i="2" s="1"/>
  <c r="DE26" i="5"/>
  <c r="DF26" i="5" s="1"/>
  <c r="DH26" i="5"/>
  <c r="BM26" i="6"/>
  <c r="CM26" i="5"/>
  <c r="BO26" i="5"/>
  <c r="BP26" i="5" s="1"/>
  <c r="BT26" i="5"/>
  <c r="U26" i="5"/>
  <c r="AM26" i="5"/>
  <c r="AN26" i="5" s="1"/>
  <c r="AB26" i="5"/>
  <c r="K21" i="5"/>
  <c r="L21" i="5" s="1"/>
  <c r="AD21" i="6"/>
  <c r="AC26" i="6"/>
  <c r="AD26" i="6" s="1"/>
  <c r="T21" i="6"/>
  <c r="S26" i="6"/>
  <c r="T26" i="6" s="1"/>
  <c r="AR26" i="5"/>
  <c r="S61" i="2" l="1"/>
  <c r="S71" i="2" s="1"/>
  <c r="D71" i="2"/>
  <c r="I26" i="6"/>
  <c r="J26" i="6" s="1"/>
  <c r="J21" i="6"/>
  <c r="N26" i="5"/>
  <c r="K26" i="5"/>
  <c r="L26" i="5" s="1"/>
</calcChain>
</file>

<file path=xl/sharedStrings.xml><?xml version="1.0" encoding="utf-8"?>
<sst xmlns="http://schemas.openxmlformats.org/spreadsheetml/2006/main" count="1492" uniqueCount="136">
  <si>
    <t>Schuljahr</t>
  </si>
  <si>
    <t>5. Jahrgang</t>
  </si>
  <si>
    <t>6. Jahrgang</t>
  </si>
  <si>
    <t>7. Jahrgang</t>
  </si>
  <si>
    <t>8. Jahrgang</t>
  </si>
  <si>
    <t>9. Jahrgang</t>
  </si>
  <si>
    <t>10. Jahrgang</t>
  </si>
  <si>
    <t>Nr.</t>
  </si>
  <si>
    <t>Sch.</t>
  </si>
  <si>
    <t xml:space="preserve"> Kl.</t>
  </si>
  <si>
    <t>Kl.</t>
  </si>
  <si>
    <t>Annette-von-Droste-Hülshoff-Gymnasium</t>
  </si>
  <si>
    <t>Freiherr-vom-Stein-Gymnasium</t>
  </si>
  <si>
    <t>Geschwister-Scholl-Gymnasium</t>
  </si>
  <si>
    <t>Gymnasium Paulinum</t>
  </si>
  <si>
    <t>Gymnasium Wolbeck</t>
  </si>
  <si>
    <t>Immanuel-Kant-Gymnasium</t>
  </si>
  <si>
    <t>Johann-Conrad-Schlaun-Gymnasium</t>
  </si>
  <si>
    <t>Pascal-Gymnasium</t>
  </si>
  <si>
    <t>Ratsgymnasium</t>
  </si>
  <si>
    <t>Schillergymnasium</t>
  </si>
  <si>
    <t>Wilhelm-Hittorf-Gymnasium</t>
  </si>
  <si>
    <t>2001/2002</t>
  </si>
  <si>
    <t>2002/2003</t>
  </si>
  <si>
    <t>2003/2004</t>
  </si>
  <si>
    <t>2004/2005</t>
  </si>
  <si>
    <t>1995/1996</t>
  </si>
  <si>
    <t>2005/2006</t>
  </si>
  <si>
    <t>Lfd.
Nr.</t>
  </si>
  <si>
    <t>Schule</t>
  </si>
  <si>
    <t>gesamt</t>
  </si>
  <si>
    <t>Gymnasium St. Mauritz</t>
  </si>
  <si>
    <t>Kardinal-von-Galen-Gymnasium</t>
  </si>
  <si>
    <t>Marienschule</t>
  </si>
  <si>
    <t>Johann-Conrad-Schlaun-
Gymnasium</t>
  </si>
  <si>
    <t>städtische und bischöfliche
Gymnasien gesamt</t>
  </si>
  <si>
    <t>städtische 
Gymnasien gesamt</t>
  </si>
  <si>
    <t>bischöfliche
Gymnasien gesamt</t>
  </si>
  <si>
    <t>Städtische und bischöfliche Gymnasien in Münster insgesamt</t>
  </si>
  <si>
    <t xml:space="preserve"> gesamt</t>
  </si>
  <si>
    <t>Schülerinnen und Schüler S I</t>
  </si>
  <si>
    <r>
      <t xml:space="preserve">1999/2000 </t>
    </r>
    <r>
      <rPr>
        <b/>
        <vertAlign val="superscript"/>
        <sz val="10"/>
        <rFont val="Arial"/>
        <family val="2"/>
      </rPr>
      <t>1)</t>
    </r>
  </si>
  <si>
    <r>
      <t xml:space="preserve">1) </t>
    </r>
    <r>
      <rPr>
        <sz val="10"/>
        <rFont val="Arial"/>
        <family val="2"/>
      </rPr>
      <t>Die Daten wurden vor diesem Zeitraum nicht gesondert erhoben.</t>
    </r>
  </si>
  <si>
    <t>Anzahl</t>
  </si>
  <si>
    <t>%</t>
  </si>
  <si>
    <t>davon
weiblich</t>
  </si>
  <si>
    <t>davon 
männlich</t>
  </si>
  <si>
    <t>2006/2007</t>
  </si>
  <si>
    <t>1996/1997</t>
  </si>
  <si>
    <t>w.</t>
  </si>
  <si>
    <t>2007/2008</t>
  </si>
  <si>
    <t>Aussiedler</t>
  </si>
  <si>
    <t>Ausländer</t>
  </si>
  <si>
    <t>Städtische Gymnasien gesamt</t>
  </si>
  <si>
    <t>Freiherr-vom-Stein-Gym.
Ganztagsschule in Angebotsform</t>
  </si>
  <si>
    <t>12. JG</t>
  </si>
  <si>
    <t>13. JG</t>
  </si>
  <si>
    <t>Entwicklung der Schülerzahlen nach Geschlecht</t>
  </si>
  <si>
    <t xml:space="preserve">davon </t>
  </si>
  <si>
    <t>männlich</t>
  </si>
  <si>
    <t>weiblich</t>
  </si>
  <si>
    <t>Entwicklung der Schülerzahlen nach Herkunft</t>
  </si>
  <si>
    <t>Deutsche</t>
  </si>
  <si>
    <t>1997/1998</t>
  </si>
  <si>
    <t>2008/2009</t>
  </si>
  <si>
    <t>2009/2010</t>
  </si>
  <si>
    <t>2010/2011</t>
  </si>
  <si>
    <t>Schülerinnen und Schüler</t>
  </si>
  <si>
    <t>S I</t>
  </si>
  <si>
    <t>S I und S II</t>
  </si>
  <si>
    <r>
      <t>1)</t>
    </r>
    <r>
      <rPr>
        <sz val="12"/>
        <rFont val="Arial"/>
        <family val="2"/>
      </rPr>
      <t xml:space="preserve"> EF = Einführungsphase der gymnasialen Oberstufe (G8)</t>
    </r>
  </si>
  <si>
    <t>2011/2012</t>
  </si>
  <si>
    <r>
      <t xml:space="preserve">Q 1 </t>
    </r>
    <r>
      <rPr>
        <vertAlign val="superscript"/>
        <sz val="12"/>
        <rFont val="Arial"/>
        <family val="2"/>
      </rPr>
      <t>1)</t>
    </r>
  </si>
  <si>
    <r>
      <t>1)</t>
    </r>
    <r>
      <rPr>
        <sz val="12"/>
        <rFont val="Arial"/>
        <family val="2"/>
      </rPr>
      <t xml:space="preserve"> EF = Einführungsphase; Q1 = Qualifizierungsphase der gymnasialen Oberstufe (G8)</t>
    </r>
  </si>
  <si>
    <t>1)</t>
  </si>
  <si>
    <r>
      <t xml:space="preserve">Freiherr-vom-Stein-Gym.
</t>
    </r>
    <r>
      <rPr>
        <sz val="9"/>
        <rFont val="Arial"/>
        <family val="2"/>
      </rPr>
      <t>Ganztagsschule in Angebotsform</t>
    </r>
  </si>
  <si>
    <r>
      <t>Geschwister-Scholl-Gymnasium</t>
    </r>
    <r>
      <rPr>
        <vertAlign val="superscript"/>
        <sz val="12"/>
        <rFont val="Arial"/>
        <family val="2"/>
      </rPr>
      <t>2)</t>
    </r>
  </si>
  <si>
    <r>
      <t>2)</t>
    </r>
    <r>
      <rPr>
        <sz val="9"/>
        <rFont val="Arial"/>
        <family val="2"/>
      </rPr>
      <t>Das Gymnasium nimmt am Schulversuch "Abitur nach 9 Jahren" teil.</t>
    </r>
  </si>
  <si>
    <r>
      <t>1)</t>
    </r>
    <r>
      <rPr>
        <sz val="9"/>
        <rFont val="Arial"/>
        <family val="2"/>
      </rPr>
      <t>Es wurde jeweils eine Integrationsklasse gebildet.</t>
    </r>
  </si>
  <si>
    <t>2012/2013</t>
  </si>
  <si>
    <t xml:space="preserve">Annette-von-Droste-Hülshoff-Gymnasium </t>
  </si>
  <si>
    <r>
      <t>1)</t>
    </r>
    <r>
      <rPr>
        <sz val="12"/>
        <rFont val="Arial"/>
        <family val="2"/>
      </rPr>
      <t xml:space="preserve"> EF = Einführungsphase; Q1, Q2 = Qualifizierungsphase der gymnasialen Oberstufe (G8)</t>
    </r>
  </si>
  <si>
    <t>2013/2014</t>
  </si>
  <si>
    <t>2014/2015</t>
  </si>
  <si>
    <r>
      <t xml:space="preserve">Ratsgymnasium
</t>
    </r>
    <r>
      <rPr>
        <sz val="10"/>
        <rFont val="Arial"/>
        <family val="2"/>
      </rPr>
      <t>Gebundene Ganztagsschule</t>
    </r>
  </si>
  <si>
    <r>
      <t xml:space="preserve">Freiherr-vom-Stein-Gymnasium
</t>
    </r>
    <r>
      <rPr>
        <sz val="9"/>
        <rFont val="Arial"/>
        <family val="2"/>
      </rPr>
      <t>Ganztagsschule in Angebotsform</t>
    </r>
  </si>
  <si>
    <r>
      <t>Geschwister-Scholl-Gymnasium</t>
    </r>
    <r>
      <rPr>
        <vertAlign val="superscript"/>
        <sz val="12"/>
        <rFont val="Arial"/>
        <family val="2"/>
      </rPr>
      <t>2)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Gebundene Ganztagsschule</t>
    </r>
  </si>
  <si>
    <r>
      <t>1)</t>
    </r>
    <r>
      <rPr>
        <sz val="10"/>
        <rFont val="Arial"/>
        <family val="2"/>
      </rPr>
      <t xml:space="preserve"> EF =  Einführungsphase, Q1 und Q2 = Qualifizierungsphase der gymnasialen Oberstufe (G8)</t>
    </r>
  </si>
  <si>
    <r>
      <t>1)</t>
    </r>
    <r>
      <rPr>
        <sz val="9"/>
        <rFont val="Arial"/>
        <family val="2"/>
      </rPr>
      <t>Es wurde mindestens eine Integrationsklasse gebildet. Das Schillergymnasium hat in den Jahrgängen 5 bis 8 Integrative Lerngruppen gebildet.</t>
    </r>
  </si>
  <si>
    <t>1.9       Gymnasien</t>
  </si>
  <si>
    <r>
      <t>S II</t>
    </r>
    <r>
      <rPr>
        <vertAlign val="superscript"/>
        <sz val="12"/>
        <rFont val="Arial"/>
        <family val="2"/>
      </rPr>
      <t>1)</t>
    </r>
  </si>
  <si>
    <t>EF</t>
  </si>
  <si>
    <t>Q 1</t>
  </si>
  <si>
    <t>Q2</t>
  </si>
  <si>
    <r>
      <t>2)</t>
    </r>
    <r>
      <rPr>
        <sz val="10"/>
        <rFont val="Arial"/>
        <family val="2"/>
      </rPr>
      <t xml:space="preserve"> Das Gymnasium nimmt am Schulversuch "Abitur nach 9 Jahren" teil.</t>
    </r>
  </si>
  <si>
    <t>Gymnasium</t>
  </si>
  <si>
    <t>darunter
Ausländer</t>
  </si>
  <si>
    <t>darunter Ausländer</t>
  </si>
  <si>
    <t>EF  (G8)1)</t>
  </si>
  <si>
    <t>2015/2016</t>
  </si>
  <si>
    <t>Lfd. 
Nr.</t>
  </si>
  <si>
    <t>Schule des 
gemeinsamen Lernens</t>
  </si>
  <si>
    <t>Referenzschule für Seiteneinsteiger</t>
  </si>
  <si>
    <t>Integrationsklassen</t>
  </si>
  <si>
    <t>Klassen
gesamt</t>
  </si>
  <si>
    <t>Jahrgang</t>
  </si>
  <si>
    <t>ja</t>
  </si>
  <si>
    <t>nein</t>
  </si>
  <si>
    <t>x</t>
  </si>
  <si>
    <t>Ges.</t>
  </si>
  <si>
    <r>
      <t>Geschwister-Scholl-Gymnasium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Gebundene Ganztagsschule</t>
    </r>
  </si>
  <si>
    <r>
      <t>S II</t>
    </r>
    <r>
      <rPr>
        <vertAlign val="superscript"/>
        <sz val="12"/>
        <rFont val="Arial"/>
        <family val="2"/>
      </rPr>
      <t>2)</t>
    </r>
  </si>
  <si>
    <r>
      <t>2)</t>
    </r>
    <r>
      <rPr>
        <sz val="10"/>
        <rFont val="Arial"/>
        <family val="2"/>
      </rPr>
      <t xml:space="preserve"> EF =  Einführungsphase, Q1 und Q2 = Qualifizierungsphase der gymnasialen Oberstufe (G8)</t>
    </r>
  </si>
  <si>
    <r>
      <t>1)</t>
    </r>
    <r>
      <rPr>
        <sz val="10"/>
        <rFont val="Arial"/>
        <family val="2"/>
      </rPr>
      <t xml:space="preserve"> Das Gymnasium nimmt am Schulversuch "Abitur nach 9 Jahren" teil.</t>
    </r>
  </si>
  <si>
    <r>
      <t>1)</t>
    </r>
    <r>
      <rPr>
        <sz val="10"/>
        <rFont val="Arial"/>
        <family val="2"/>
      </rPr>
      <t>Das Gymnasium nimmt am Schulversuch "Abitur nach 9 Jahren" teil.</t>
    </r>
  </si>
  <si>
    <t>keine Integrationsklassen</t>
  </si>
  <si>
    <t>Bischöfliche Gymnasien gesamt</t>
  </si>
  <si>
    <t>2016/2017</t>
  </si>
  <si>
    <t>1.9.3  Städtische und bischöfliche Gymnasien - Klassentypen im Schuljahr 2016/2017</t>
  </si>
  <si>
    <t>2017/2018</t>
  </si>
  <si>
    <t xml:space="preserve">          Gemeinsames Lernen, Seiteneinsteiger</t>
  </si>
  <si>
    <t>1.9.3  Städtische Gymnasien</t>
  </si>
  <si>
    <t>2018/2019</t>
  </si>
  <si>
    <t>2019/2020</t>
  </si>
  <si>
    <t>1.9.1    Städtische Gymnasien - Schüler/innen- und Klassenzahlen im Schuljahr 2019/2020</t>
  </si>
  <si>
    <r>
      <t>1)</t>
    </r>
    <r>
      <rPr>
        <sz val="10"/>
        <rFont val="Arial"/>
        <family val="2"/>
      </rPr>
      <t>Das Gymnasium hat am Schulversuch "Abitur nach 9 Jahren" teilgenommen.</t>
    </r>
  </si>
  <si>
    <r>
      <t>1)</t>
    </r>
    <r>
      <rPr>
        <sz val="10"/>
        <rFont val="Arial"/>
        <family val="2"/>
      </rPr>
      <t xml:space="preserve"> Das Gymnasium hat am Schulversuch "Abitur nach 9 Jahren" teilgenommen.</t>
    </r>
  </si>
  <si>
    <t>2020/2021</t>
  </si>
  <si>
    <r>
      <t>1)</t>
    </r>
    <r>
      <rPr>
        <sz val="10"/>
        <rFont val="Arial"/>
        <family val="2"/>
      </rPr>
      <t xml:space="preserve"> Das Gymnasium hat am Schulversuch "Abitur nach 12 oder 13 Jahren" teilgenommen.</t>
    </r>
  </si>
  <si>
    <r>
      <t>2)</t>
    </r>
    <r>
      <rPr>
        <sz val="10"/>
        <rFont val="Arial"/>
        <family val="2"/>
      </rPr>
      <t xml:space="preserve"> EF =  Einführungsphase</t>
    </r>
  </si>
  <si>
    <t>EF  (G8)</t>
  </si>
  <si>
    <t>2021/2022</t>
  </si>
  <si>
    <t>Q1</t>
  </si>
  <si>
    <r>
      <t>2)</t>
    </r>
    <r>
      <rPr>
        <sz val="10"/>
        <rFont val="Arial"/>
        <family val="2"/>
      </rPr>
      <t xml:space="preserve"> EF =  Einführungsphase, Q1 + Q2 = Qualifizierungsphasen</t>
    </r>
  </si>
  <si>
    <t>1.9.1    Städtische Gymnasien - Schüler/innen- und Klassenzahlen ab dem Schuljahr 2010/2011</t>
  </si>
  <si>
    <t>1.9.1    Städtische Gymnasien - Schüler/innen- und Klassenzahlen im Schuljahr 2010/2011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</si>
</sst>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€_-;\-* #,##0\ _€_-;_-* &quot;-&quot;\ _€_-;_-@_-"/>
    <numFmt numFmtId="165" formatCode="###\ ###\ ;\-###\ ###\ ;\-\ "/>
  </numFmts>
  <fonts count="23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482">
    <xf numFmtId="0" fontId="0" fillId="0" borderId="0" xfId="0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3" fontId="0" fillId="0" borderId="2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" fontId="0" fillId="0" borderId="22" xfId="0" applyNumberForma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3" fontId="0" fillId="0" borderId="4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2" fontId="0" fillId="0" borderId="24" xfId="0" applyNumberFormat="1" applyFill="1" applyBorder="1" applyAlignment="1">
      <alignment horizontal="center" vertical="center" wrapText="1"/>
    </xf>
    <xf numFmtId="2" fontId="0" fillId="0" borderId="25" xfId="0" applyNumberForma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3" fontId="0" fillId="0" borderId="26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2" fontId="0" fillId="0" borderId="28" xfId="0" applyNumberFormat="1" applyFill="1" applyBorder="1" applyAlignment="1">
      <alignment horizontal="center" vertical="center" wrapText="1"/>
    </xf>
    <xf numFmtId="2" fontId="0" fillId="0" borderId="29" xfId="0" applyNumberForma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4" fontId="5" fillId="0" borderId="3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2" fontId="0" fillId="0" borderId="35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2" fontId="0" fillId="0" borderId="36" xfId="0" applyNumberForma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" fontId="9" fillId="0" borderId="20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2" fontId="0" fillId="0" borderId="7" xfId="0" applyNumberFormat="1" applyFill="1" applyBorder="1" applyAlignment="1">
      <alignment horizontal="center" vertical="center" wrapText="1"/>
    </xf>
    <xf numFmtId="2" fontId="0" fillId="0" borderId="27" xfId="0" applyNumberForma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43" xfId="0" applyNumberForma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wrapText="1"/>
    </xf>
    <xf numFmtId="0" fontId="3" fillId="0" borderId="5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3" fontId="0" fillId="0" borderId="6" xfId="0" applyNumberForma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" fontId="14" fillId="0" borderId="43" xfId="0" applyNumberFormat="1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wrapText="1"/>
    </xf>
    <xf numFmtId="0" fontId="7" fillId="0" borderId="5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5" xfId="0" applyFont="1" applyFill="1" applyBorder="1" applyProtection="1"/>
    <xf numFmtId="0" fontId="3" fillId="0" borderId="16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/>
    </xf>
    <xf numFmtId="3" fontId="7" fillId="0" borderId="13" xfId="0" applyNumberFormat="1" applyFont="1" applyFill="1" applyBorder="1" applyAlignment="1" applyProtection="1">
      <alignment horizontal="center"/>
    </xf>
    <xf numFmtId="3" fontId="7" fillId="0" borderId="21" xfId="0" applyNumberFormat="1" applyFont="1" applyFill="1" applyBorder="1" applyAlignment="1" applyProtection="1">
      <alignment horizontal="center"/>
    </xf>
    <xf numFmtId="0" fontId="7" fillId="0" borderId="0" xfId="0" applyFont="1" applyFill="1"/>
    <xf numFmtId="0" fontId="3" fillId="0" borderId="19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0" fontId="3" fillId="0" borderId="44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wrapText="1"/>
    </xf>
    <xf numFmtId="0" fontId="6" fillId="0" borderId="15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left" wrapText="1"/>
    </xf>
    <xf numFmtId="3" fontId="3" fillId="0" borderId="13" xfId="0" applyNumberFormat="1" applyFont="1" applyFill="1" applyBorder="1" applyAlignment="1" applyProtection="1">
      <alignment horizontal="center"/>
    </xf>
    <xf numFmtId="3" fontId="3" fillId="0" borderId="20" xfId="0" applyNumberFormat="1" applyFont="1" applyFill="1" applyBorder="1" applyAlignment="1" applyProtection="1">
      <alignment horizontal="center"/>
    </xf>
    <xf numFmtId="3" fontId="6" fillId="0" borderId="34" xfId="0" applyNumberFormat="1" applyFont="1" applyFill="1" applyBorder="1" applyAlignment="1" applyProtection="1">
      <alignment horizontal="center"/>
    </xf>
    <xf numFmtId="3" fontId="3" fillId="0" borderId="49" xfId="0" applyNumberFormat="1" applyFont="1" applyFill="1" applyBorder="1" applyAlignment="1" applyProtection="1">
      <alignment horizontal="center"/>
    </xf>
    <xf numFmtId="3" fontId="3" fillId="0" borderId="39" xfId="0" applyNumberFormat="1" applyFont="1" applyFill="1" applyBorder="1" applyAlignment="1" applyProtection="1">
      <alignment horizontal="center"/>
    </xf>
    <xf numFmtId="3" fontId="8" fillId="0" borderId="34" xfId="0" applyNumberFormat="1" applyFont="1" applyFill="1" applyBorder="1" applyAlignment="1" applyProtection="1">
      <alignment horizontal="center"/>
    </xf>
    <xf numFmtId="3" fontId="3" fillId="0" borderId="34" xfId="0" applyNumberFormat="1" applyFont="1" applyFill="1" applyBorder="1" applyAlignment="1" applyProtection="1">
      <alignment horizontal="center"/>
    </xf>
    <xf numFmtId="3" fontId="3" fillId="0" borderId="21" xfId="0" applyNumberFormat="1" applyFont="1" applyFill="1" applyBorder="1" applyAlignment="1" applyProtection="1">
      <alignment horizontal="center"/>
    </xf>
    <xf numFmtId="0" fontId="6" fillId="0" borderId="37" xfId="0" applyFont="1" applyFill="1" applyBorder="1" applyAlignment="1" applyProtection="1">
      <alignment horizontal="center"/>
    </xf>
    <xf numFmtId="0" fontId="3" fillId="0" borderId="38" xfId="0" applyFont="1" applyFill="1" applyBorder="1" applyAlignment="1" applyProtection="1">
      <alignment horizontal="center"/>
    </xf>
    <xf numFmtId="0" fontId="3" fillId="0" borderId="43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 wrapText="1"/>
    </xf>
    <xf numFmtId="3" fontId="6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0" fontId="3" fillId="0" borderId="53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Protection="1"/>
    <xf numFmtId="3" fontId="3" fillId="0" borderId="0" xfId="0" applyNumberFormat="1" applyFont="1" applyFill="1" applyAlignment="1" applyProtection="1">
      <alignment horizontal="center"/>
    </xf>
    <xf numFmtId="0" fontId="15" fillId="0" borderId="0" xfId="0" applyFont="1" applyAlignment="1">
      <alignment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4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165" fontId="15" fillId="0" borderId="80" xfId="0" applyNumberFormat="1" applyFont="1" applyBorder="1" applyAlignment="1">
      <alignment horizontal="center" vertical="center"/>
    </xf>
    <xf numFmtId="0" fontId="6" fillId="0" borderId="0" xfId="0" applyFont="1" applyFill="1" applyAlignment="1" applyProtection="1">
      <alignment horizontal="left"/>
    </xf>
    <xf numFmtId="0" fontId="17" fillId="0" borderId="32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5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5" fontId="18" fillId="0" borderId="15" xfId="0" applyNumberFormat="1" applyFont="1" applyBorder="1" applyAlignment="1">
      <alignment horizontal="center" vertical="center" wrapText="1"/>
    </xf>
    <xf numFmtId="165" fontId="18" fillId="0" borderId="5" xfId="0" applyNumberFormat="1" applyFont="1" applyBorder="1" applyAlignment="1">
      <alignment horizontal="center" vertical="center" wrapText="1"/>
    </xf>
    <xf numFmtId="165" fontId="18" fillId="0" borderId="7" xfId="0" applyNumberFormat="1" applyFont="1" applyBorder="1" applyAlignment="1">
      <alignment horizontal="center" vertical="center" wrapText="1"/>
    </xf>
    <xf numFmtId="165" fontId="18" fillId="0" borderId="8" xfId="0" applyNumberFormat="1" applyFont="1" applyBorder="1" applyAlignment="1">
      <alignment horizontal="center" vertical="center" wrapText="1"/>
    </xf>
    <xf numFmtId="165" fontId="18" fillId="0" borderId="4" xfId="0" applyNumberFormat="1" applyFont="1" applyBorder="1" applyAlignment="1">
      <alignment horizontal="center" vertical="center" wrapText="1"/>
    </xf>
    <xf numFmtId="165" fontId="19" fillId="0" borderId="43" xfId="0" applyNumberFormat="1" applyFont="1" applyBorder="1" applyAlignment="1">
      <alignment horizontal="center" vertical="center" wrapText="1"/>
    </xf>
    <xf numFmtId="165" fontId="19" fillId="0" borderId="11" xfId="0" applyNumberFormat="1" applyFont="1" applyBorder="1" applyAlignment="1">
      <alignment horizontal="center" vertical="center" wrapText="1"/>
    </xf>
    <xf numFmtId="165" fontId="19" fillId="0" borderId="44" xfId="0" applyNumberFormat="1" applyFont="1" applyBorder="1" applyAlignment="1">
      <alignment horizontal="center" vertical="center" wrapText="1"/>
    </xf>
    <xf numFmtId="165" fontId="19" fillId="0" borderId="42" xfId="0" applyNumberFormat="1" applyFont="1" applyBorder="1" applyAlignment="1">
      <alignment horizontal="center" vertical="center" wrapText="1"/>
    </xf>
    <xf numFmtId="165" fontId="19" fillId="0" borderId="32" xfId="0" applyNumberFormat="1" applyFont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/>
    <xf numFmtId="0" fontId="18" fillId="0" borderId="71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79" xfId="0" applyFont="1" applyFill="1" applyBorder="1" applyAlignment="1" applyProtection="1">
      <alignment vertical="center" wrapText="1"/>
    </xf>
    <xf numFmtId="165" fontId="18" fillId="0" borderId="52" xfId="0" applyNumberFormat="1" applyFont="1" applyBorder="1" applyAlignment="1">
      <alignment horizontal="center" vertical="center" wrapText="1"/>
    </xf>
    <xf numFmtId="165" fontId="18" fillId="0" borderId="6" xfId="0" applyNumberFormat="1" applyFont="1" applyBorder="1" applyAlignment="1">
      <alignment horizontal="center" vertical="center" wrapText="1"/>
    </xf>
    <xf numFmtId="165" fontId="18" fillId="0" borderId="12" xfId="0" applyNumberFormat="1" applyFont="1" applyBorder="1" applyAlignment="1">
      <alignment horizontal="center" vertical="center" wrapText="1"/>
    </xf>
    <xf numFmtId="165" fontId="18" fillId="0" borderId="72" xfId="0" applyNumberFormat="1" applyFont="1" applyBorder="1" applyAlignment="1">
      <alignment horizontal="center" vertical="center" wrapText="1"/>
    </xf>
    <xf numFmtId="165" fontId="18" fillId="0" borderId="71" xfId="0" applyNumberFormat="1" applyFont="1" applyBorder="1" applyAlignment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27" xfId="0" applyFont="1" applyFill="1" applyBorder="1" applyAlignment="1" applyProtection="1">
      <alignment horizontal="center" vertical="center"/>
    </xf>
    <xf numFmtId="0" fontId="18" fillId="0" borderId="55" xfId="0" applyFont="1" applyFill="1" applyBorder="1" applyAlignment="1" applyProtection="1">
      <alignment vertical="center" wrapText="1"/>
    </xf>
    <xf numFmtId="0" fontId="18" fillId="0" borderId="55" xfId="0" applyFont="1" applyFill="1" applyBorder="1" applyAlignment="1" applyProtection="1">
      <alignment vertical="center"/>
    </xf>
    <xf numFmtId="0" fontId="18" fillId="0" borderId="55" xfId="0" applyFont="1" applyFill="1" applyBorder="1" applyAlignment="1" applyProtection="1">
      <alignment horizontal="left" vertical="center"/>
    </xf>
    <xf numFmtId="0" fontId="18" fillId="0" borderId="26" xfId="0" applyFont="1" applyFill="1" applyBorder="1" applyAlignment="1" applyProtection="1">
      <alignment horizontal="center" vertical="center"/>
    </xf>
    <xf numFmtId="0" fontId="18" fillId="0" borderId="56" xfId="0" applyFont="1" applyFill="1" applyBorder="1" applyAlignment="1" applyProtection="1">
      <alignment vertical="center" wrapText="1"/>
    </xf>
    <xf numFmtId="0" fontId="19" fillId="0" borderId="32" xfId="0" applyFont="1" applyFill="1" applyBorder="1" applyAlignment="1" applyProtection="1">
      <alignment horizontal="center" vertical="center"/>
    </xf>
    <xf numFmtId="0" fontId="19" fillId="0" borderId="44" xfId="0" applyFont="1" applyFill="1" applyBorder="1" applyAlignment="1" applyProtection="1">
      <alignment horizontal="center" vertical="center"/>
    </xf>
    <xf numFmtId="0" fontId="19" fillId="0" borderId="77" xfId="0" applyFont="1" applyFill="1" applyBorder="1" applyAlignment="1" applyProtection="1">
      <alignment horizontal="left" vertical="center" wrapText="1"/>
    </xf>
    <xf numFmtId="165" fontId="17" fillId="0" borderId="77" xfId="0" applyNumberFormat="1" applyFont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3" fontId="7" fillId="0" borderId="13" xfId="0" applyNumberFormat="1" applyFont="1" applyFill="1" applyBorder="1" applyAlignment="1" applyProtection="1">
      <alignment horizontal="center" vertical="center"/>
    </xf>
    <xf numFmtId="3" fontId="7" fillId="0" borderId="2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6" fillId="0" borderId="37" xfId="0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center" vertical="center"/>
    </xf>
    <xf numFmtId="3" fontId="3" fillId="0" borderId="5" xfId="0" applyNumberFormat="1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3" fontId="7" fillId="0" borderId="16" xfId="0" applyNumberFormat="1" applyFont="1" applyFill="1" applyBorder="1" applyAlignment="1" applyProtection="1">
      <alignment horizontal="center" vertical="center"/>
    </xf>
    <xf numFmtId="3" fontId="3" fillId="0" borderId="16" xfId="0" applyNumberFormat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71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left" wrapText="1"/>
    </xf>
    <xf numFmtId="0" fontId="6" fillId="0" borderId="52" xfId="0" applyFont="1" applyFill="1" applyBorder="1" applyAlignment="1" applyProtection="1">
      <alignment horizontal="center"/>
    </xf>
    <xf numFmtId="0" fontId="8" fillId="0" borderId="52" xfId="0" applyFont="1" applyFill="1" applyBorder="1" applyAlignment="1" applyProtection="1">
      <alignment horizontal="center"/>
    </xf>
    <xf numFmtId="0" fontId="3" fillId="0" borderId="52" xfId="0" applyFont="1" applyFill="1" applyBorder="1" applyAlignment="1" applyProtection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vertical="center" wrapText="1"/>
    </xf>
    <xf numFmtId="0" fontId="6" fillId="0" borderId="38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9" fillId="0" borderId="0" xfId="0" applyFont="1" applyAlignment="1"/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vertical="center" wrapText="1"/>
    </xf>
    <xf numFmtId="0" fontId="18" fillId="0" borderId="5" xfId="0" applyFont="1" applyFill="1" applyBorder="1" applyAlignment="1" applyProtection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left" vertical="center" wrapText="1"/>
    </xf>
    <xf numFmtId="0" fontId="17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5" xfId="0" applyFont="1" applyFill="1" applyBorder="1" applyAlignment="1" applyProtection="1">
      <alignment vertical="center" wrapText="1"/>
    </xf>
    <xf numFmtId="165" fontId="3" fillId="0" borderId="5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 applyProtection="1">
      <alignment horizontal="center" vertical="center" wrapText="1"/>
    </xf>
    <xf numFmtId="0" fontId="21" fillId="0" borderId="5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2" fillId="0" borderId="15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0" fontId="21" fillId="0" borderId="27" xfId="0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165" fontId="21" fillId="0" borderId="5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wrapText="1"/>
    </xf>
    <xf numFmtId="0" fontId="8" fillId="0" borderId="5" xfId="0" applyFont="1" applyFill="1" applyBorder="1" applyAlignment="1">
      <alignment horizontal="left"/>
    </xf>
    <xf numFmtId="0" fontId="3" fillId="0" borderId="5" xfId="0" applyFont="1" applyFill="1" applyBorder="1"/>
    <xf numFmtId="3" fontId="3" fillId="0" borderId="5" xfId="0" applyNumberFormat="1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164" fontId="7" fillId="0" borderId="5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/>
    </xf>
    <xf numFmtId="3" fontId="7" fillId="0" borderId="4" xfId="0" applyNumberFormat="1" applyFont="1" applyFill="1" applyBorder="1" applyAlignment="1" applyProtection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 applyProtection="1">
      <alignment horizontal="center" vertical="center"/>
    </xf>
    <xf numFmtId="3" fontId="7" fillId="0" borderId="15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3" fontId="7" fillId="0" borderId="20" xfId="0" applyNumberFormat="1" applyFont="1" applyFill="1" applyBorder="1" applyAlignment="1" applyProtection="1">
      <alignment horizontal="center"/>
    </xf>
    <xf numFmtId="3" fontId="7" fillId="0" borderId="34" xfId="0" applyNumberFormat="1" applyFont="1" applyFill="1" applyBorder="1" applyAlignment="1" applyProtection="1">
      <alignment horizontal="center"/>
    </xf>
    <xf numFmtId="3" fontId="7" fillId="0" borderId="20" xfId="0" applyNumberFormat="1" applyFont="1" applyFill="1" applyBorder="1" applyAlignment="1" applyProtection="1">
      <alignment horizontal="center" vertical="center"/>
    </xf>
    <xf numFmtId="3" fontId="7" fillId="0" borderId="34" xfId="0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4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3" fontId="7" fillId="0" borderId="7" xfId="0" applyNumberFormat="1" applyFont="1" applyFill="1" applyBorder="1" applyAlignment="1" applyProtection="1">
      <alignment horizontal="center" vertical="center"/>
    </xf>
    <xf numFmtId="3" fontId="7" fillId="0" borderId="15" xfId="0" applyNumberFormat="1" applyFont="1" applyFill="1" applyBorder="1" applyAlignment="1" applyProtection="1">
      <alignment horizontal="center" vertical="center"/>
    </xf>
    <xf numFmtId="3" fontId="7" fillId="0" borderId="20" xfId="0" applyNumberFormat="1" applyFont="1" applyFill="1" applyBorder="1" applyAlignment="1" applyProtection="1">
      <alignment horizontal="center"/>
    </xf>
    <xf numFmtId="3" fontId="7" fillId="0" borderId="34" xfId="0" applyNumberFormat="1" applyFont="1" applyFill="1" applyBorder="1" applyAlignment="1" applyProtection="1">
      <alignment horizontal="center"/>
    </xf>
    <xf numFmtId="3" fontId="7" fillId="0" borderId="20" xfId="0" applyNumberFormat="1" applyFont="1" applyFill="1" applyBorder="1" applyAlignment="1" applyProtection="1">
      <alignment horizontal="center" vertical="center"/>
    </xf>
    <xf numFmtId="3" fontId="7" fillId="0" borderId="34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7" fillId="0" borderId="62" xfId="0" applyNumberFormat="1" applyFont="1" applyFill="1" applyBorder="1" applyAlignment="1" applyProtection="1">
      <alignment horizontal="center"/>
    </xf>
    <xf numFmtId="3" fontId="7" fillId="0" borderId="63" xfId="0" applyNumberFormat="1" applyFont="1" applyFill="1" applyBorder="1" applyAlignment="1" applyProtection="1">
      <alignment horizontal="center"/>
    </xf>
    <xf numFmtId="3" fontId="7" fillId="0" borderId="64" xfId="0" applyNumberFormat="1" applyFont="1" applyFill="1" applyBorder="1" applyAlignment="1" applyProtection="1">
      <alignment horizontal="center"/>
    </xf>
    <xf numFmtId="3" fontId="7" fillId="0" borderId="65" xfId="0" applyNumberFormat="1" applyFont="1" applyFill="1" applyBorder="1" applyAlignment="1" applyProtection="1">
      <alignment horizontal="center"/>
    </xf>
    <xf numFmtId="3" fontId="7" fillId="0" borderId="66" xfId="0" applyNumberFormat="1" applyFont="1" applyFill="1" applyBorder="1" applyAlignment="1" applyProtection="1">
      <alignment horizontal="center"/>
    </xf>
    <xf numFmtId="3" fontId="7" fillId="0" borderId="67" xfId="0" applyNumberFormat="1" applyFont="1" applyFill="1" applyBorder="1" applyAlignment="1" applyProtection="1">
      <alignment horizontal="center"/>
    </xf>
    <xf numFmtId="3" fontId="7" fillId="0" borderId="68" xfId="0" applyNumberFormat="1" applyFont="1" applyFill="1" applyBorder="1" applyAlignment="1" applyProtection="1">
      <alignment horizontal="center"/>
    </xf>
    <xf numFmtId="3" fontId="7" fillId="0" borderId="69" xfId="0" applyNumberFormat="1" applyFont="1" applyFill="1" applyBorder="1" applyAlignment="1" applyProtection="1">
      <alignment horizontal="center"/>
    </xf>
    <xf numFmtId="3" fontId="7" fillId="0" borderId="70" xfId="0" applyNumberFormat="1" applyFont="1" applyFill="1" applyBorder="1" applyAlignment="1" applyProtection="1">
      <alignment horizontal="center"/>
    </xf>
    <xf numFmtId="3" fontId="7" fillId="0" borderId="62" xfId="0" applyNumberFormat="1" applyFont="1" applyFill="1" applyBorder="1" applyAlignment="1" applyProtection="1">
      <alignment horizontal="center" vertical="center"/>
    </xf>
    <xf numFmtId="3" fontId="7" fillId="0" borderId="63" xfId="0" applyNumberFormat="1" applyFont="1" applyFill="1" applyBorder="1" applyAlignment="1" applyProtection="1">
      <alignment horizontal="center" vertical="center"/>
    </xf>
    <xf numFmtId="3" fontId="7" fillId="0" borderId="64" xfId="0" applyNumberFormat="1" applyFont="1" applyFill="1" applyBorder="1" applyAlignment="1" applyProtection="1">
      <alignment horizontal="center" vertical="center"/>
    </xf>
    <xf numFmtId="3" fontId="7" fillId="0" borderId="65" xfId="0" applyNumberFormat="1" applyFont="1" applyFill="1" applyBorder="1" applyAlignment="1" applyProtection="1">
      <alignment horizontal="center" vertical="center"/>
    </xf>
    <xf numFmtId="3" fontId="7" fillId="0" borderId="66" xfId="0" applyNumberFormat="1" applyFont="1" applyFill="1" applyBorder="1" applyAlignment="1" applyProtection="1">
      <alignment horizontal="center" vertical="center"/>
    </xf>
    <xf numFmtId="3" fontId="7" fillId="0" borderId="67" xfId="0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/>
    </xf>
    <xf numFmtId="3" fontId="7" fillId="0" borderId="89" xfId="0" applyNumberFormat="1" applyFont="1" applyFill="1" applyBorder="1" applyAlignment="1" applyProtection="1">
      <alignment horizontal="center" vertical="center"/>
    </xf>
    <xf numFmtId="3" fontId="7" fillId="0" borderId="90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165" fontId="18" fillId="0" borderId="84" xfId="0" applyNumberFormat="1" applyFont="1" applyBorder="1" applyAlignment="1">
      <alignment horizontal="center" vertical="center" wrapText="1"/>
    </xf>
    <xf numFmtId="165" fontId="18" fillId="0" borderId="85" xfId="0" applyNumberFormat="1" applyFont="1" applyBorder="1" applyAlignment="1">
      <alignment horizontal="center" vertical="center" wrapText="1"/>
    </xf>
    <xf numFmtId="165" fontId="18" fillId="0" borderId="86" xfId="0" applyNumberFormat="1" applyFont="1" applyBorder="1" applyAlignment="1">
      <alignment horizontal="center" vertical="center" wrapText="1"/>
    </xf>
    <xf numFmtId="165" fontId="18" fillId="0" borderId="88" xfId="0" applyNumberFormat="1" applyFont="1" applyBorder="1" applyAlignment="1">
      <alignment horizontal="center" vertical="center" wrapText="1"/>
    </xf>
    <xf numFmtId="165" fontId="18" fillId="0" borderId="87" xfId="0" applyNumberFormat="1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3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7"/>
  <sheetViews>
    <sheetView tabSelected="1" workbookViewId="0">
      <selection activeCell="AG9" sqref="AG9"/>
    </sheetView>
  </sheetViews>
  <sheetFormatPr baseColWidth="10" defaultColWidth="11.44140625" defaultRowHeight="17.399999999999999" x14ac:dyDescent="0.25"/>
  <cols>
    <col min="1" max="1" width="4.6640625" style="112" customWidth="1"/>
    <col min="2" max="2" width="12.109375" style="112" bestFit="1" customWidth="1"/>
    <col min="3" max="3" width="30" style="113" customWidth="1"/>
    <col min="4" max="4" width="6.6640625" style="112" customWidth="1"/>
    <col min="5" max="5" width="5.44140625" style="112" customWidth="1"/>
    <col min="6" max="6" width="4.44140625" style="136" customWidth="1"/>
    <col min="7" max="7" width="2.44140625" style="145" customWidth="1"/>
    <col min="8" max="8" width="6.6640625" style="112" customWidth="1"/>
    <col min="9" max="9" width="5.44140625" style="112" customWidth="1"/>
    <col min="10" max="10" width="3.88671875" style="112" bestFit="1" customWidth="1"/>
    <col min="11" max="11" width="2.109375" style="112" customWidth="1"/>
    <col min="12" max="12" width="7" style="112" bestFit="1" customWidth="1"/>
    <col min="13" max="13" width="5.44140625" style="112" customWidth="1"/>
    <col min="14" max="14" width="4.44140625" style="112" customWidth="1"/>
    <col min="15" max="15" width="2" style="114" customWidth="1"/>
    <col min="16" max="16" width="6.6640625" style="112" customWidth="1"/>
    <col min="17" max="17" width="5.44140625" style="112" customWidth="1"/>
    <col min="18" max="18" width="4.44140625" style="112" customWidth="1"/>
    <col min="19" max="19" width="3.33203125" style="112" customWidth="1"/>
    <col min="20" max="20" width="6.6640625" style="112" customWidth="1"/>
    <col min="21" max="21" width="5.44140625" style="112" customWidth="1"/>
    <col min="22" max="22" width="4.44140625" style="136" customWidth="1"/>
    <col min="23" max="23" width="2.109375" style="145" customWidth="1"/>
    <col min="24" max="24" width="6.6640625" style="112" customWidth="1"/>
    <col min="25" max="25" width="5.44140625" style="112" customWidth="1"/>
    <col min="26" max="26" width="4.44140625" style="112" customWidth="1"/>
    <col min="27" max="27" width="7.44140625" style="112" customWidth="1"/>
    <col min="28" max="28" width="7" style="112" bestFit="1" customWidth="1"/>
    <col min="29" max="29" width="7.88671875" style="112" customWidth="1"/>
    <col min="30" max="30" width="7" style="112" customWidth="1"/>
    <col min="31" max="31" width="5.6640625" style="112" customWidth="1"/>
    <col min="32" max="32" width="11.44140625" style="112"/>
    <col min="33" max="16384" width="11.44140625" style="115"/>
  </cols>
  <sheetData>
    <row r="1" spans="1:33" ht="17.399999999999999" customHeight="1" x14ac:dyDescent="0.3">
      <c r="A1" s="111" t="s">
        <v>89</v>
      </c>
    </row>
    <row r="2" spans="1:33" ht="16.5" customHeight="1" x14ac:dyDescent="0.3">
      <c r="A2" s="111" t="s">
        <v>134</v>
      </c>
    </row>
    <row r="3" spans="1:33" ht="16.5" customHeight="1" x14ac:dyDescent="0.25"/>
    <row r="4" spans="1:33" s="147" customFormat="1" ht="30" customHeight="1" x14ac:dyDescent="0.25">
      <c r="A4" s="367" t="s">
        <v>28</v>
      </c>
      <c r="B4" s="367" t="s">
        <v>0</v>
      </c>
      <c r="C4" s="368" t="s">
        <v>95</v>
      </c>
      <c r="D4" s="367" t="s">
        <v>1</v>
      </c>
      <c r="E4" s="367"/>
      <c r="F4" s="367"/>
      <c r="G4" s="367"/>
      <c r="H4" s="367" t="s">
        <v>2</v>
      </c>
      <c r="I4" s="367"/>
      <c r="J4" s="367"/>
      <c r="K4" s="367"/>
      <c r="L4" s="367" t="s">
        <v>3</v>
      </c>
      <c r="M4" s="367"/>
      <c r="N4" s="367"/>
      <c r="O4" s="367"/>
      <c r="P4" s="367" t="s">
        <v>4</v>
      </c>
      <c r="Q4" s="367"/>
      <c r="R4" s="369"/>
      <c r="S4" s="292"/>
      <c r="T4" s="367" t="s">
        <v>5</v>
      </c>
      <c r="U4" s="367"/>
      <c r="V4" s="367"/>
      <c r="W4" s="367"/>
      <c r="X4" s="367" t="s">
        <v>6</v>
      </c>
      <c r="Y4" s="367"/>
      <c r="Z4" s="367"/>
      <c r="AA4" s="367" t="s">
        <v>40</v>
      </c>
      <c r="AB4" s="367"/>
      <c r="AC4" s="367"/>
      <c r="AD4" s="367"/>
      <c r="AE4" s="367" t="s">
        <v>10</v>
      </c>
      <c r="AF4" s="146"/>
    </row>
    <row r="5" spans="1:33" s="147" customFormat="1" ht="30" customHeight="1" x14ac:dyDescent="0.25">
      <c r="A5" s="367" t="s">
        <v>7</v>
      </c>
      <c r="B5" s="367"/>
      <c r="C5" s="368"/>
      <c r="D5" s="368" t="s">
        <v>8</v>
      </c>
      <c r="E5" s="367" t="s">
        <v>49</v>
      </c>
      <c r="F5" s="367" t="s">
        <v>9</v>
      </c>
      <c r="G5" s="367"/>
      <c r="H5" s="368" t="s">
        <v>8</v>
      </c>
      <c r="I5" s="367" t="s">
        <v>49</v>
      </c>
      <c r="J5" s="367" t="s">
        <v>10</v>
      </c>
      <c r="K5" s="367"/>
      <c r="L5" s="368" t="s">
        <v>8</v>
      </c>
      <c r="M5" s="367" t="s">
        <v>49</v>
      </c>
      <c r="N5" s="367" t="s">
        <v>10</v>
      </c>
      <c r="O5" s="367"/>
      <c r="P5" s="368" t="s">
        <v>8</v>
      </c>
      <c r="Q5" s="367" t="s">
        <v>49</v>
      </c>
      <c r="R5" s="367" t="s">
        <v>10</v>
      </c>
      <c r="S5" s="367"/>
      <c r="T5" s="368" t="s">
        <v>8</v>
      </c>
      <c r="U5" s="367" t="s">
        <v>49</v>
      </c>
      <c r="V5" s="367" t="s">
        <v>10</v>
      </c>
      <c r="W5" s="367"/>
      <c r="X5" s="368" t="s">
        <v>8</v>
      </c>
      <c r="Y5" s="367" t="s">
        <v>49</v>
      </c>
      <c r="Z5" s="367" t="s">
        <v>10</v>
      </c>
      <c r="AA5" s="368" t="s">
        <v>39</v>
      </c>
      <c r="AB5" s="368"/>
      <c r="AC5" s="367" t="s">
        <v>96</v>
      </c>
      <c r="AD5" s="367"/>
      <c r="AE5" s="370"/>
      <c r="AF5" s="112"/>
    </row>
    <row r="6" spans="1:33" s="147" customFormat="1" ht="30" customHeight="1" x14ac:dyDescent="0.25">
      <c r="A6" s="367"/>
      <c r="B6" s="367"/>
      <c r="C6" s="368"/>
      <c r="D6" s="368"/>
      <c r="E6" s="367"/>
      <c r="F6" s="367"/>
      <c r="G6" s="367"/>
      <c r="H6" s="368"/>
      <c r="I6" s="367"/>
      <c r="J6" s="367"/>
      <c r="K6" s="367"/>
      <c r="L6" s="368"/>
      <c r="M6" s="367"/>
      <c r="N6" s="367"/>
      <c r="O6" s="367"/>
      <c r="P6" s="368"/>
      <c r="Q6" s="367"/>
      <c r="R6" s="367"/>
      <c r="S6" s="367"/>
      <c r="T6" s="368"/>
      <c r="U6" s="367"/>
      <c r="V6" s="367"/>
      <c r="W6" s="367"/>
      <c r="X6" s="368"/>
      <c r="Y6" s="367"/>
      <c r="Z6" s="367"/>
      <c r="AA6" s="349" t="s">
        <v>8</v>
      </c>
      <c r="AB6" s="348" t="s">
        <v>49</v>
      </c>
      <c r="AC6" s="349" t="s">
        <v>8</v>
      </c>
      <c r="AD6" s="348" t="s">
        <v>49</v>
      </c>
      <c r="AE6" s="370"/>
      <c r="AF6" s="112"/>
    </row>
    <row r="7" spans="1:33" s="146" customFormat="1" ht="15.6" x14ac:dyDescent="0.25">
      <c r="A7" s="350">
        <v>1</v>
      </c>
      <c r="B7" s="350">
        <v>2</v>
      </c>
      <c r="C7" s="350">
        <v>2</v>
      </c>
      <c r="D7" s="350">
        <v>3</v>
      </c>
      <c r="E7" s="350">
        <v>4</v>
      </c>
      <c r="F7" s="386">
        <v>5</v>
      </c>
      <c r="G7" s="386"/>
      <c r="H7" s="350">
        <v>6</v>
      </c>
      <c r="I7" s="350">
        <v>7</v>
      </c>
      <c r="J7" s="386">
        <v>8</v>
      </c>
      <c r="K7" s="386"/>
      <c r="L7" s="350">
        <v>9</v>
      </c>
      <c r="M7" s="350">
        <v>10</v>
      </c>
      <c r="N7" s="386">
        <v>11</v>
      </c>
      <c r="O7" s="386"/>
      <c r="P7" s="350">
        <v>12</v>
      </c>
      <c r="Q7" s="350">
        <v>13</v>
      </c>
      <c r="R7" s="386">
        <v>14</v>
      </c>
      <c r="S7" s="386"/>
      <c r="T7" s="350">
        <v>15</v>
      </c>
      <c r="U7" s="350">
        <v>16</v>
      </c>
      <c r="V7" s="386">
        <v>17</v>
      </c>
      <c r="W7" s="386"/>
      <c r="X7" s="350">
        <v>18</v>
      </c>
      <c r="Y7" s="350">
        <v>19</v>
      </c>
      <c r="Z7" s="350">
        <v>20</v>
      </c>
      <c r="AA7" s="350">
        <v>21</v>
      </c>
      <c r="AB7" s="350">
        <v>22</v>
      </c>
      <c r="AC7" s="350">
        <v>23</v>
      </c>
      <c r="AD7" s="350">
        <v>24</v>
      </c>
      <c r="AE7" s="298">
        <v>25</v>
      </c>
      <c r="AF7" s="148"/>
      <c r="AG7" s="148"/>
    </row>
    <row r="8" spans="1:33" ht="30.6" x14ac:dyDescent="0.3">
      <c r="A8" s="293">
        <v>1</v>
      </c>
      <c r="B8" s="153" t="s">
        <v>66</v>
      </c>
      <c r="C8" s="294" t="s">
        <v>11</v>
      </c>
      <c r="D8" s="141">
        <v>146</v>
      </c>
      <c r="E8" s="140">
        <v>74</v>
      </c>
      <c r="F8" s="157">
        <v>5</v>
      </c>
      <c r="G8" s="295"/>
      <c r="H8" s="141">
        <v>153</v>
      </c>
      <c r="I8" s="140">
        <v>85</v>
      </c>
      <c r="J8" s="140">
        <v>5</v>
      </c>
      <c r="K8" s="140"/>
      <c r="L8" s="141">
        <v>143</v>
      </c>
      <c r="M8" s="140">
        <v>65</v>
      </c>
      <c r="N8" s="157">
        <v>5</v>
      </c>
      <c r="O8" s="296"/>
      <c r="P8" s="141">
        <v>152</v>
      </c>
      <c r="Q8" s="140">
        <v>77</v>
      </c>
      <c r="R8" s="157">
        <v>5</v>
      </c>
      <c r="S8" s="297"/>
      <c r="T8" s="141">
        <v>128</v>
      </c>
      <c r="U8" s="140">
        <v>81</v>
      </c>
      <c r="V8" s="157">
        <v>4</v>
      </c>
      <c r="W8" s="295"/>
      <c r="X8" s="141"/>
      <c r="Y8" s="140"/>
      <c r="Z8" s="140"/>
      <c r="AA8" s="141">
        <f>D8+H8+L8+P8+T8+X8</f>
        <v>722</v>
      </c>
      <c r="AB8" s="140">
        <f>E8+I8+M8+Q8+U8+Y8</f>
        <v>382</v>
      </c>
      <c r="AC8" s="152">
        <v>16</v>
      </c>
      <c r="AD8" s="154">
        <v>8</v>
      </c>
      <c r="AE8" s="142">
        <f>F8+J8+N8+R8+V8+Z8</f>
        <v>24</v>
      </c>
    </row>
    <row r="9" spans="1:33" ht="45.6" x14ac:dyDescent="0.3">
      <c r="A9" s="118">
        <v>2</v>
      </c>
      <c r="B9" s="125" t="s">
        <v>66</v>
      </c>
      <c r="C9" s="149" t="s">
        <v>54</v>
      </c>
      <c r="D9" s="120">
        <v>155</v>
      </c>
      <c r="E9" s="104">
        <v>64</v>
      </c>
      <c r="F9" s="105">
        <v>5</v>
      </c>
      <c r="G9" s="150"/>
      <c r="H9" s="120">
        <v>137</v>
      </c>
      <c r="I9" s="104">
        <v>68</v>
      </c>
      <c r="J9" s="104">
        <v>5</v>
      </c>
      <c r="K9" s="104"/>
      <c r="L9" s="120">
        <v>143</v>
      </c>
      <c r="M9" s="104">
        <v>67</v>
      </c>
      <c r="N9" s="105">
        <v>5</v>
      </c>
      <c r="O9" s="151"/>
      <c r="P9" s="120">
        <v>143</v>
      </c>
      <c r="Q9" s="104">
        <v>61</v>
      </c>
      <c r="R9" s="105">
        <v>5</v>
      </c>
      <c r="S9" s="123"/>
      <c r="T9" s="120">
        <v>120</v>
      </c>
      <c r="U9" s="104">
        <v>58</v>
      </c>
      <c r="V9" s="105">
        <v>4</v>
      </c>
      <c r="W9" s="150"/>
      <c r="X9" s="120"/>
      <c r="Y9" s="104"/>
      <c r="Z9" s="104"/>
      <c r="AA9" s="120">
        <f>D9+H9+L9+P9+T9+X9</f>
        <v>698</v>
      </c>
      <c r="AB9" s="104">
        <f>E9+I9+M9+Q9+U9+Y9</f>
        <v>318</v>
      </c>
      <c r="AC9" s="120">
        <v>13</v>
      </c>
      <c r="AD9" s="105">
        <v>7</v>
      </c>
      <c r="AE9" s="121">
        <f>F9+J9+N9+R9+V9+Z9</f>
        <v>24</v>
      </c>
    </row>
    <row r="10" spans="1:33" ht="30.6" x14ac:dyDescent="0.3">
      <c r="A10" s="118">
        <v>3</v>
      </c>
      <c r="B10" s="125" t="s">
        <v>66</v>
      </c>
      <c r="C10" s="149" t="s">
        <v>13</v>
      </c>
      <c r="D10" s="120">
        <v>42</v>
      </c>
      <c r="E10" s="104">
        <v>25</v>
      </c>
      <c r="F10" s="105">
        <v>2</v>
      </c>
      <c r="G10" s="150"/>
      <c r="H10" s="120">
        <v>80</v>
      </c>
      <c r="I10" s="104">
        <v>41</v>
      </c>
      <c r="J10" s="104">
        <v>3</v>
      </c>
      <c r="K10" s="104"/>
      <c r="L10" s="120">
        <v>87</v>
      </c>
      <c r="M10" s="104">
        <v>42</v>
      </c>
      <c r="N10" s="105">
        <v>3</v>
      </c>
      <c r="O10" s="151"/>
      <c r="P10" s="120">
        <v>60</v>
      </c>
      <c r="Q10" s="104">
        <v>26</v>
      </c>
      <c r="R10" s="105">
        <v>2</v>
      </c>
      <c r="S10" s="123"/>
      <c r="T10" s="120">
        <v>75</v>
      </c>
      <c r="U10" s="104">
        <v>33</v>
      </c>
      <c r="V10" s="105">
        <v>3</v>
      </c>
      <c r="W10" s="150"/>
      <c r="X10" s="120"/>
      <c r="Y10" s="104"/>
      <c r="Z10" s="104"/>
      <c r="AA10" s="120">
        <f>D10+H10+L10+P10+T10+X10</f>
        <v>344</v>
      </c>
      <c r="AB10" s="104">
        <f>E10+I10+M10+Q10+U10+Y10</f>
        <v>167</v>
      </c>
      <c r="AC10" s="152">
        <v>19</v>
      </c>
      <c r="AD10" s="154">
        <v>7</v>
      </c>
      <c r="AE10" s="121">
        <f>F10+J10+N10+R10+V10+Z10</f>
        <v>13</v>
      </c>
    </row>
    <row r="11" spans="1:33" ht="18" x14ac:dyDescent="0.3">
      <c r="A11" s="118">
        <v>4</v>
      </c>
      <c r="B11" s="125" t="s">
        <v>66</v>
      </c>
      <c r="C11" s="155" t="s">
        <v>14</v>
      </c>
      <c r="D11" s="120">
        <v>126</v>
      </c>
      <c r="E11" s="104">
        <v>56</v>
      </c>
      <c r="F11" s="105">
        <v>4</v>
      </c>
      <c r="G11" s="150"/>
      <c r="H11" s="120">
        <v>124</v>
      </c>
      <c r="I11" s="104">
        <v>60</v>
      </c>
      <c r="J11" s="104">
        <v>4</v>
      </c>
      <c r="K11" s="104"/>
      <c r="L11" s="120">
        <v>126</v>
      </c>
      <c r="M11" s="104">
        <v>52</v>
      </c>
      <c r="N11" s="105">
        <v>4</v>
      </c>
      <c r="O11" s="151"/>
      <c r="P11" s="120">
        <v>115</v>
      </c>
      <c r="Q11" s="104">
        <v>43</v>
      </c>
      <c r="R11" s="105">
        <v>4</v>
      </c>
      <c r="S11" s="123"/>
      <c r="T11" s="120">
        <v>129</v>
      </c>
      <c r="U11" s="104">
        <v>40</v>
      </c>
      <c r="V11" s="105">
        <v>4</v>
      </c>
      <c r="W11" s="150"/>
      <c r="X11" s="120"/>
      <c r="Y11" s="104"/>
      <c r="Z11" s="104"/>
      <c r="AA11" s="120">
        <f>D11+H11+L11+P11+T11+X11</f>
        <v>620</v>
      </c>
      <c r="AB11" s="104">
        <f>E11+I11+M11+Q11+U11+Y11</f>
        <v>251</v>
      </c>
      <c r="AC11" s="120">
        <v>37</v>
      </c>
      <c r="AD11" s="105">
        <v>19</v>
      </c>
      <c r="AE11" s="121">
        <f>F11+J11+N11+R11+V11+Z11</f>
        <v>20</v>
      </c>
    </row>
    <row r="12" spans="1:33" ht="18" x14ac:dyDescent="0.3">
      <c r="A12" s="118">
        <v>5</v>
      </c>
      <c r="B12" s="125" t="s">
        <v>66</v>
      </c>
      <c r="C12" s="155" t="s">
        <v>15</v>
      </c>
      <c r="D12" s="103">
        <v>133</v>
      </c>
      <c r="E12" s="104">
        <v>87</v>
      </c>
      <c r="F12" s="105">
        <v>5</v>
      </c>
      <c r="G12" s="150"/>
      <c r="H12" s="120">
        <v>144</v>
      </c>
      <c r="I12" s="104">
        <v>75</v>
      </c>
      <c r="J12" s="104">
        <v>5</v>
      </c>
      <c r="K12" s="104"/>
      <c r="L12" s="120">
        <v>156</v>
      </c>
      <c r="M12" s="104">
        <v>83</v>
      </c>
      <c r="N12" s="105">
        <v>5</v>
      </c>
      <c r="O12" s="151"/>
      <c r="P12" s="120">
        <v>147</v>
      </c>
      <c r="Q12" s="104">
        <v>74</v>
      </c>
      <c r="R12" s="105">
        <v>5</v>
      </c>
      <c r="S12" s="123"/>
      <c r="T12" s="120">
        <v>123</v>
      </c>
      <c r="U12" s="104">
        <v>66</v>
      </c>
      <c r="V12" s="105">
        <v>4</v>
      </c>
      <c r="W12" s="150"/>
      <c r="X12" s="120"/>
      <c r="Y12" s="104"/>
      <c r="Z12" s="104"/>
      <c r="AA12" s="120">
        <f>D12+H12+L12+P12+T12+X12</f>
        <v>703</v>
      </c>
      <c r="AB12" s="104">
        <f>E12+I12+M12+Q12+U12+Y12</f>
        <v>385</v>
      </c>
      <c r="AC12" s="152">
        <v>7</v>
      </c>
      <c r="AD12" s="154">
        <v>3</v>
      </c>
      <c r="AE12" s="121">
        <f>F12+J12+N12+R12+V12+Z12</f>
        <v>24</v>
      </c>
    </row>
    <row r="13" spans="1:33" ht="18" x14ac:dyDescent="0.3">
      <c r="A13" s="118">
        <v>6</v>
      </c>
      <c r="B13" s="125" t="s">
        <v>66</v>
      </c>
      <c r="C13" s="119" t="s">
        <v>16</v>
      </c>
      <c r="D13" s="120">
        <v>80</v>
      </c>
      <c r="E13" s="104">
        <v>42</v>
      </c>
      <c r="F13" s="105">
        <v>3</v>
      </c>
      <c r="G13" s="150"/>
      <c r="H13" s="120">
        <v>119</v>
      </c>
      <c r="I13" s="104">
        <v>62</v>
      </c>
      <c r="J13" s="104">
        <v>4</v>
      </c>
      <c r="K13" s="104"/>
      <c r="L13" s="120">
        <v>113</v>
      </c>
      <c r="M13" s="104">
        <v>62</v>
      </c>
      <c r="N13" s="105">
        <v>4</v>
      </c>
      <c r="O13" s="151"/>
      <c r="P13" s="120">
        <v>119</v>
      </c>
      <c r="Q13" s="104">
        <v>62</v>
      </c>
      <c r="R13" s="105">
        <v>4</v>
      </c>
      <c r="S13" s="151"/>
      <c r="T13" s="120">
        <v>122</v>
      </c>
      <c r="U13" s="104">
        <v>59</v>
      </c>
      <c r="V13" s="105">
        <v>4</v>
      </c>
      <c r="W13" s="150"/>
      <c r="X13" s="120"/>
      <c r="Y13" s="104"/>
      <c r="Z13" s="104"/>
      <c r="AA13" s="120">
        <f>D13+H13+L13+P13+T13+X13</f>
        <v>553</v>
      </c>
      <c r="AB13" s="104">
        <f>E13+I13+M13+Q13+U13+Y13</f>
        <v>287</v>
      </c>
      <c r="AC13" s="120">
        <v>10</v>
      </c>
      <c r="AD13" s="105">
        <v>5</v>
      </c>
      <c r="AE13" s="121">
        <f>F13+J13+N13+R13+V13+Z13</f>
        <v>19</v>
      </c>
    </row>
    <row r="14" spans="1:33" ht="30.6" x14ac:dyDescent="0.3">
      <c r="A14" s="118">
        <v>7</v>
      </c>
      <c r="B14" s="125" t="s">
        <v>66</v>
      </c>
      <c r="C14" s="149" t="s">
        <v>17</v>
      </c>
      <c r="D14" s="120">
        <v>59</v>
      </c>
      <c r="E14" s="104">
        <v>22</v>
      </c>
      <c r="F14" s="105">
        <v>2</v>
      </c>
      <c r="G14" s="150"/>
      <c r="H14" s="120">
        <v>68</v>
      </c>
      <c r="I14" s="104">
        <v>32</v>
      </c>
      <c r="J14" s="104">
        <v>2</v>
      </c>
      <c r="K14" s="104"/>
      <c r="L14" s="120">
        <v>56</v>
      </c>
      <c r="M14" s="104">
        <v>25</v>
      </c>
      <c r="N14" s="105">
        <v>2</v>
      </c>
      <c r="O14" s="151"/>
      <c r="P14" s="120">
        <v>59</v>
      </c>
      <c r="Q14" s="104">
        <v>25</v>
      </c>
      <c r="R14" s="105">
        <v>2</v>
      </c>
      <c r="S14" s="123"/>
      <c r="T14" s="120">
        <v>91</v>
      </c>
      <c r="U14" s="104">
        <v>55</v>
      </c>
      <c r="V14" s="105">
        <v>3</v>
      </c>
      <c r="W14" s="150"/>
      <c r="X14" s="120"/>
      <c r="Y14" s="104"/>
      <c r="Z14" s="104"/>
      <c r="AA14" s="120">
        <f>D14+H14+L14+P14+T14+X14</f>
        <v>333</v>
      </c>
      <c r="AB14" s="104">
        <f>E14+I14+M14+Q14+U14+Y14</f>
        <v>159</v>
      </c>
      <c r="AC14" s="152">
        <v>2</v>
      </c>
      <c r="AD14" s="154">
        <v>2</v>
      </c>
      <c r="AE14" s="121">
        <f>F14+J14+N14+R14+V14+Z14</f>
        <v>11</v>
      </c>
    </row>
    <row r="15" spans="1:33" ht="18" x14ac:dyDescent="0.3">
      <c r="A15" s="118">
        <v>8</v>
      </c>
      <c r="B15" s="125" t="s">
        <v>66</v>
      </c>
      <c r="C15" s="155" t="s">
        <v>18</v>
      </c>
      <c r="D15" s="120">
        <v>121</v>
      </c>
      <c r="E15" s="104">
        <v>61</v>
      </c>
      <c r="F15" s="105">
        <v>4</v>
      </c>
      <c r="G15" s="150"/>
      <c r="H15" s="120">
        <v>109</v>
      </c>
      <c r="I15" s="104">
        <v>61</v>
      </c>
      <c r="J15" s="104">
        <v>4</v>
      </c>
      <c r="K15" s="104"/>
      <c r="L15" s="120">
        <v>134</v>
      </c>
      <c r="M15" s="104">
        <v>77</v>
      </c>
      <c r="N15" s="105">
        <v>5</v>
      </c>
      <c r="O15" s="151"/>
      <c r="P15" s="120">
        <v>113</v>
      </c>
      <c r="Q15" s="104">
        <v>71</v>
      </c>
      <c r="R15" s="105">
        <v>4</v>
      </c>
      <c r="S15" s="123"/>
      <c r="T15" s="120">
        <v>121</v>
      </c>
      <c r="U15" s="104">
        <v>69</v>
      </c>
      <c r="V15" s="105">
        <v>4</v>
      </c>
      <c r="W15" s="150"/>
      <c r="X15" s="120"/>
      <c r="Y15" s="104"/>
      <c r="Z15" s="104"/>
      <c r="AA15" s="120">
        <f>D15+H15+L15+P15+T15+X15</f>
        <v>598</v>
      </c>
      <c r="AB15" s="104">
        <f>E15+I15+M15+Q15+U15+Y15</f>
        <v>339</v>
      </c>
      <c r="AC15" s="120">
        <v>15</v>
      </c>
      <c r="AD15" s="105">
        <v>9</v>
      </c>
      <c r="AE15" s="121">
        <f>F15+J15+N15+R15+V15+Z15</f>
        <v>21</v>
      </c>
    </row>
    <row r="16" spans="1:33" ht="18" x14ac:dyDescent="0.3">
      <c r="A16" s="118">
        <v>9</v>
      </c>
      <c r="B16" s="125" t="s">
        <v>66</v>
      </c>
      <c r="C16" s="155" t="s">
        <v>19</v>
      </c>
      <c r="D16" s="120">
        <v>122</v>
      </c>
      <c r="E16" s="104">
        <v>51</v>
      </c>
      <c r="F16" s="105">
        <v>4</v>
      </c>
      <c r="G16" s="150"/>
      <c r="H16" s="120">
        <v>94</v>
      </c>
      <c r="I16" s="104">
        <v>42</v>
      </c>
      <c r="J16" s="104">
        <v>3</v>
      </c>
      <c r="K16" s="104"/>
      <c r="L16" s="120">
        <v>71</v>
      </c>
      <c r="M16" s="104">
        <v>30</v>
      </c>
      <c r="N16" s="105">
        <v>3</v>
      </c>
      <c r="O16" s="151"/>
      <c r="P16" s="120">
        <v>91</v>
      </c>
      <c r="Q16" s="104">
        <v>47</v>
      </c>
      <c r="R16" s="105">
        <v>3</v>
      </c>
      <c r="S16" s="123"/>
      <c r="T16" s="120">
        <v>61</v>
      </c>
      <c r="U16" s="104">
        <v>22</v>
      </c>
      <c r="V16" s="105">
        <v>2</v>
      </c>
      <c r="W16" s="150"/>
      <c r="X16" s="120"/>
      <c r="Y16" s="104"/>
      <c r="Z16" s="104"/>
      <c r="AA16" s="120">
        <f>D16+H16+L16+P16+T16+X16</f>
        <v>439</v>
      </c>
      <c r="AB16" s="104">
        <f>E16+I16+M16+Q16+U16+Y16</f>
        <v>192</v>
      </c>
      <c r="AC16" s="152">
        <v>9</v>
      </c>
      <c r="AD16" s="154">
        <v>3</v>
      </c>
      <c r="AE16" s="121">
        <f>F16+J16+N16+R16+V16+Z16</f>
        <v>15</v>
      </c>
    </row>
    <row r="17" spans="1:31" ht="18" x14ac:dyDescent="0.3">
      <c r="A17" s="118">
        <v>10</v>
      </c>
      <c r="B17" s="125" t="s">
        <v>66</v>
      </c>
      <c r="C17" s="155" t="s">
        <v>20</v>
      </c>
      <c r="D17" s="103">
        <v>92</v>
      </c>
      <c r="E17" s="104">
        <v>29</v>
      </c>
      <c r="F17" s="105">
        <v>3</v>
      </c>
      <c r="G17" s="150"/>
      <c r="H17" s="120">
        <v>119</v>
      </c>
      <c r="I17" s="104">
        <v>53</v>
      </c>
      <c r="J17" s="104">
        <v>4</v>
      </c>
      <c r="K17" s="104"/>
      <c r="L17" s="120">
        <v>64</v>
      </c>
      <c r="M17" s="104">
        <v>28</v>
      </c>
      <c r="N17" s="105">
        <v>2</v>
      </c>
      <c r="O17" s="151"/>
      <c r="P17" s="120">
        <v>85</v>
      </c>
      <c r="Q17" s="104">
        <v>44</v>
      </c>
      <c r="R17" s="105">
        <v>3</v>
      </c>
      <c r="S17" s="123"/>
      <c r="T17" s="120">
        <v>118</v>
      </c>
      <c r="U17" s="104">
        <v>51</v>
      </c>
      <c r="V17" s="105">
        <v>4</v>
      </c>
      <c r="W17" s="150"/>
      <c r="X17" s="120"/>
      <c r="Y17" s="104"/>
      <c r="Z17" s="104"/>
      <c r="AA17" s="120">
        <f>D17+H17+L17+P17+T17+X17</f>
        <v>478</v>
      </c>
      <c r="AB17" s="104">
        <f>E17+I17+M17+Q17+U17+Y17</f>
        <v>205</v>
      </c>
      <c r="AC17" s="120">
        <v>7</v>
      </c>
      <c r="AD17" s="105">
        <v>2</v>
      </c>
      <c r="AE17" s="121">
        <f>F17+J17+N17+R17+V17+Z17</f>
        <v>16</v>
      </c>
    </row>
    <row r="18" spans="1:31" ht="18.600000000000001" thickBot="1" x14ac:dyDescent="0.35">
      <c r="A18" s="118">
        <v>11</v>
      </c>
      <c r="B18" s="125" t="s">
        <v>66</v>
      </c>
      <c r="C18" s="119" t="s">
        <v>21</v>
      </c>
      <c r="D18" s="156">
        <v>115</v>
      </c>
      <c r="E18" s="104">
        <v>53</v>
      </c>
      <c r="F18" s="105">
        <v>4</v>
      </c>
      <c r="G18" s="150"/>
      <c r="H18" s="120">
        <v>122</v>
      </c>
      <c r="I18" s="104">
        <v>50</v>
      </c>
      <c r="J18" s="127">
        <v>4</v>
      </c>
      <c r="K18" s="127"/>
      <c r="L18" s="120">
        <v>114</v>
      </c>
      <c r="M18" s="104">
        <v>43</v>
      </c>
      <c r="N18" s="105">
        <v>4</v>
      </c>
      <c r="O18" s="151"/>
      <c r="P18" s="120">
        <v>116</v>
      </c>
      <c r="Q18" s="104">
        <v>40</v>
      </c>
      <c r="R18" s="105">
        <v>4</v>
      </c>
      <c r="S18" s="123"/>
      <c r="T18" s="120">
        <v>120</v>
      </c>
      <c r="U18" s="104">
        <v>53</v>
      </c>
      <c r="V18" s="105">
        <v>4</v>
      </c>
      <c r="W18" s="150"/>
      <c r="X18" s="120"/>
      <c r="Y18" s="104"/>
      <c r="Z18" s="104"/>
      <c r="AA18" s="120">
        <f>D18+H18+L18+P18+T18+X18</f>
        <v>587</v>
      </c>
      <c r="AB18" s="104">
        <f>E18+I18+M18+Q18+U18+Y18</f>
        <v>239</v>
      </c>
      <c r="AC18" s="141">
        <v>14</v>
      </c>
      <c r="AD18" s="157">
        <v>7</v>
      </c>
      <c r="AE18" s="121">
        <f>F18+J18+N18+R18+V18+Z18</f>
        <v>20</v>
      </c>
    </row>
    <row r="19" spans="1:31" ht="31.8" thickBot="1" x14ac:dyDescent="0.35">
      <c r="A19" s="134"/>
      <c r="B19" s="135" t="s">
        <v>66</v>
      </c>
      <c r="C19" s="158" t="s">
        <v>53</v>
      </c>
      <c r="D19" s="131">
        <f>SUM(D8:D18)</f>
        <v>1191</v>
      </c>
      <c r="E19" s="159">
        <f>SUM(E8:E18)</f>
        <v>564</v>
      </c>
      <c r="F19" s="160">
        <f>SUM(F8:F18)</f>
        <v>41</v>
      </c>
      <c r="G19" s="161"/>
      <c r="H19" s="131">
        <f t="shared" ref="H19:N19" si="0">SUM(H8:H18)</f>
        <v>1269</v>
      </c>
      <c r="I19" s="160">
        <f t="shared" si="0"/>
        <v>629</v>
      </c>
      <c r="J19" s="162">
        <f t="shared" si="0"/>
        <v>43</v>
      </c>
      <c r="K19" s="163"/>
      <c r="L19" s="352">
        <f t="shared" si="0"/>
        <v>1207</v>
      </c>
      <c r="M19" s="159">
        <f t="shared" si="0"/>
        <v>574</v>
      </c>
      <c r="N19" s="160">
        <f t="shared" si="0"/>
        <v>42</v>
      </c>
      <c r="O19" s="164"/>
      <c r="P19" s="131">
        <f>SUM(P8:P18)</f>
        <v>1200</v>
      </c>
      <c r="Q19" s="159">
        <f>SUM(Q8:Q18)</f>
        <v>570</v>
      </c>
      <c r="R19" s="160">
        <f>SUM(R8:R18)</f>
        <v>41</v>
      </c>
      <c r="S19" s="165"/>
      <c r="T19" s="131">
        <f>SUM(T8:T18)</f>
        <v>1208</v>
      </c>
      <c r="U19" s="159">
        <f>SUM(U8:U18)</f>
        <v>587</v>
      </c>
      <c r="V19" s="160">
        <f>SUM(V8:V18)</f>
        <v>40</v>
      </c>
      <c r="W19" s="161"/>
      <c r="X19" s="131">
        <f t="shared" ref="X19:AE19" si="1">SUM(X8:X18)</f>
        <v>0</v>
      </c>
      <c r="Y19" s="159">
        <f t="shared" si="1"/>
        <v>0</v>
      </c>
      <c r="Z19" s="159">
        <f t="shared" si="1"/>
        <v>0</v>
      </c>
      <c r="AA19" s="131">
        <f t="shared" si="1"/>
        <v>6075</v>
      </c>
      <c r="AB19" s="159">
        <f t="shared" si="1"/>
        <v>2924</v>
      </c>
      <c r="AC19" s="131">
        <f t="shared" si="1"/>
        <v>149</v>
      </c>
      <c r="AD19" s="159">
        <f t="shared" si="1"/>
        <v>72</v>
      </c>
      <c r="AE19" s="166">
        <f t="shared" si="1"/>
        <v>207</v>
      </c>
    </row>
    <row r="20" spans="1:31" ht="30.6" x14ac:dyDescent="0.3">
      <c r="A20" s="118">
        <v>1</v>
      </c>
      <c r="B20" s="125" t="s">
        <v>71</v>
      </c>
      <c r="C20" s="149" t="s">
        <v>11</v>
      </c>
      <c r="D20" s="120">
        <v>155</v>
      </c>
      <c r="E20" s="104">
        <v>84</v>
      </c>
      <c r="F20" s="105">
        <v>5</v>
      </c>
      <c r="G20" s="150" t="s">
        <v>74</v>
      </c>
      <c r="H20" s="120">
        <v>154</v>
      </c>
      <c r="I20" s="105">
        <v>75</v>
      </c>
      <c r="J20" s="154">
        <v>5</v>
      </c>
      <c r="K20" s="167" t="s">
        <v>74</v>
      </c>
      <c r="L20" s="122">
        <v>149</v>
      </c>
      <c r="M20" s="104">
        <v>85</v>
      </c>
      <c r="N20" s="105">
        <v>5</v>
      </c>
      <c r="O20" s="151"/>
      <c r="P20" s="120">
        <v>141</v>
      </c>
      <c r="Q20" s="104">
        <v>66</v>
      </c>
      <c r="R20" s="105">
        <v>5</v>
      </c>
      <c r="S20" s="167" t="s">
        <v>74</v>
      </c>
      <c r="T20" s="120">
        <v>151</v>
      </c>
      <c r="U20" s="104">
        <v>78</v>
      </c>
      <c r="V20" s="105">
        <v>5</v>
      </c>
      <c r="W20" s="150"/>
      <c r="X20" s="120"/>
      <c r="Y20" s="104"/>
      <c r="Z20" s="104"/>
      <c r="AA20" s="120">
        <f>D20+H20+L20+P20+T20+X20</f>
        <v>750</v>
      </c>
      <c r="AB20" s="104">
        <f>E20+I20+M20+Q20+U20+Y20</f>
        <v>388</v>
      </c>
      <c r="AC20" s="128">
        <v>15</v>
      </c>
      <c r="AD20" s="126">
        <v>7</v>
      </c>
      <c r="AE20" s="121">
        <f>F20+J20+N20+R20+V20+Z20</f>
        <v>25</v>
      </c>
    </row>
    <row r="21" spans="1:31" ht="27.6" x14ac:dyDescent="0.3">
      <c r="A21" s="118">
        <v>2</v>
      </c>
      <c r="B21" s="125" t="s">
        <v>71</v>
      </c>
      <c r="C21" s="149" t="s">
        <v>75</v>
      </c>
      <c r="D21" s="120">
        <v>155</v>
      </c>
      <c r="E21" s="104">
        <v>70</v>
      </c>
      <c r="F21" s="105">
        <v>5</v>
      </c>
      <c r="G21" s="150"/>
      <c r="H21" s="120">
        <v>153</v>
      </c>
      <c r="I21" s="105">
        <v>63</v>
      </c>
      <c r="J21" s="126">
        <v>5</v>
      </c>
      <c r="K21" s="168"/>
      <c r="L21" s="122">
        <v>130</v>
      </c>
      <c r="M21" s="104">
        <v>65</v>
      </c>
      <c r="N21" s="105">
        <v>5</v>
      </c>
      <c r="O21" s="151"/>
      <c r="P21" s="120">
        <v>142</v>
      </c>
      <c r="Q21" s="104">
        <v>68</v>
      </c>
      <c r="R21" s="105">
        <v>5</v>
      </c>
      <c r="S21" s="123"/>
      <c r="T21" s="120">
        <v>137</v>
      </c>
      <c r="U21" s="104">
        <v>58</v>
      </c>
      <c r="V21" s="105">
        <v>5</v>
      </c>
      <c r="W21" s="150"/>
      <c r="X21" s="120"/>
      <c r="Y21" s="104"/>
      <c r="Z21" s="104"/>
      <c r="AA21" s="120">
        <f>D21+H21+L21+P21+T21+X21</f>
        <v>717</v>
      </c>
      <c r="AB21" s="104">
        <f>E21+I21+M21+Q21+U21+Y21</f>
        <v>324</v>
      </c>
      <c r="AC21" s="120">
        <v>13</v>
      </c>
      <c r="AD21" s="105">
        <v>7</v>
      </c>
      <c r="AE21" s="121">
        <f>F21+J21+N21+R21+V21+Z21</f>
        <v>25</v>
      </c>
    </row>
    <row r="22" spans="1:31" ht="33" x14ac:dyDescent="0.3">
      <c r="A22" s="118">
        <v>3</v>
      </c>
      <c r="B22" s="125" t="s">
        <v>71</v>
      </c>
      <c r="C22" s="149" t="s">
        <v>76</v>
      </c>
      <c r="D22" s="120">
        <v>86</v>
      </c>
      <c r="E22" s="104">
        <v>53</v>
      </c>
      <c r="F22" s="105">
        <v>3</v>
      </c>
      <c r="G22" s="150"/>
      <c r="H22" s="120">
        <v>43</v>
      </c>
      <c r="I22" s="105">
        <v>25</v>
      </c>
      <c r="J22" s="126">
        <v>2</v>
      </c>
      <c r="K22" s="168"/>
      <c r="L22" s="122">
        <v>83</v>
      </c>
      <c r="M22" s="104">
        <v>40</v>
      </c>
      <c r="N22" s="105">
        <v>3</v>
      </c>
      <c r="O22" s="151"/>
      <c r="P22" s="120">
        <v>82</v>
      </c>
      <c r="Q22" s="104">
        <v>39</v>
      </c>
      <c r="R22" s="105">
        <v>3</v>
      </c>
      <c r="S22" s="123">
        <v>56</v>
      </c>
      <c r="T22" s="120">
        <v>56</v>
      </c>
      <c r="U22" s="104">
        <v>25</v>
      </c>
      <c r="V22" s="105">
        <v>2</v>
      </c>
      <c r="W22" s="150"/>
      <c r="X22" s="120"/>
      <c r="Y22" s="104"/>
      <c r="Z22" s="104"/>
      <c r="AA22" s="120">
        <f>D22+H22+L22+P22+T22+X22</f>
        <v>350</v>
      </c>
      <c r="AB22" s="104">
        <f>E22+I22+M22+Q22+U22+Y22</f>
        <v>182</v>
      </c>
      <c r="AC22" s="152">
        <v>20</v>
      </c>
      <c r="AD22" s="154">
        <v>10</v>
      </c>
      <c r="AE22" s="121">
        <f>F22+J22+N22+R22+V22+Z22</f>
        <v>13</v>
      </c>
    </row>
    <row r="23" spans="1:31" ht="18" x14ac:dyDescent="0.3">
      <c r="A23" s="118">
        <v>4</v>
      </c>
      <c r="B23" s="125" t="s">
        <v>71</v>
      </c>
      <c r="C23" s="155" t="s">
        <v>14</v>
      </c>
      <c r="D23" s="120">
        <v>115</v>
      </c>
      <c r="E23" s="104">
        <v>43</v>
      </c>
      <c r="F23" s="105">
        <v>4</v>
      </c>
      <c r="G23" s="150"/>
      <c r="H23" s="120">
        <v>131</v>
      </c>
      <c r="I23" s="105">
        <v>56</v>
      </c>
      <c r="J23" s="126">
        <v>4</v>
      </c>
      <c r="K23" s="168"/>
      <c r="L23" s="122">
        <v>128</v>
      </c>
      <c r="M23" s="104">
        <v>62</v>
      </c>
      <c r="N23" s="105">
        <v>4</v>
      </c>
      <c r="O23" s="151"/>
      <c r="P23" s="120">
        <v>130</v>
      </c>
      <c r="Q23" s="104">
        <v>53</v>
      </c>
      <c r="R23" s="105">
        <v>4</v>
      </c>
      <c r="S23" s="123"/>
      <c r="T23" s="120">
        <v>117</v>
      </c>
      <c r="U23" s="104">
        <v>45</v>
      </c>
      <c r="V23" s="105">
        <v>4</v>
      </c>
      <c r="W23" s="150"/>
      <c r="X23" s="120"/>
      <c r="Y23" s="104"/>
      <c r="Z23" s="104"/>
      <c r="AA23" s="120">
        <f>D23+H23+L23+P23+T23+X23</f>
        <v>621</v>
      </c>
      <c r="AB23" s="104">
        <f>E23+I23+M23+Q23+U23+Y23</f>
        <v>259</v>
      </c>
      <c r="AC23" s="120">
        <v>39</v>
      </c>
      <c r="AD23" s="105">
        <v>16</v>
      </c>
      <c r="AE23" s="121">
        <f>F23+J23+N23+R23+V23+Z23</f>
        <v>20</v>
      </c>
    </row>
    <row r="24" spans="1:31" ht="18" x14ac:dyDescent="0.3">
      <c r="A24" s="118">
        <v>5</v>
      </c>
      <c r="B24" s="125" t="s">
        <v>71</v>
      </c>
      <c r="C24" s="155" t="s">
        <v>15</v>
      </c>
      <c r="D24" s="103">
        <v>129</v>
      </c>
      <c r="E24" s="104">
        <v>73</v>
      </c>
      <c r="F24" s="105">
        <v>5</v>
      </c>
      <c r="G24" s="150"/>
      <c r="H24" s="120">
        <v>133</v>
      </c>
      <c r="I24" s="105">
        <v>87</v>
      </c>
      <c r="J24" s="126">
        <v>5</v>
      </c>
      <c r="K24" s="168"/>
      <c r="L24" s="122">
        <v>138</v>
      </c>
      <c r="M24" s="104">
        <v>73</v>
      </c>
      <c r="N24" s="105">
        <v>5</v>
      </c>
      <c r="O24" s="151"/>
      <c r="P24" s="120">
        <v>154</v>
      </c>
      <c r="Q24" s="104">
        <v>84</v>
      </c>
      <c r="R24" s="105">
        <v>5</v>
      </c>
      <c r="S24" s="123"/>
      <c r="T24" s="120">
        <v>138</v>
      </c>
      <c r="U24" s="104">
        <v>69</v>
      </c>
      <c r="V24" s="105">
        <v>5</v>
      </c>
      <c r="W24" s="150"/>
      <c r="X24" s="120"/>
      <c r="Y24" s="104"/>
      <c r="Z24" s="104"/>
      <c r="AA24" s="120">
        <f>D24+H24+L24+P24+T24+X24</f>
        <v>692</v>
      </c>
      <c r="AB24" s="104">
        <f>E24+I24+M24+Q24+U24+Y24</f>
        <v>386</v>
      </c>
      <c r="AC24" s="152">
        <v>5</v>
      </c>
      <c r="AD24" s="154">
        <v>2</v>
      </c>
      <c r="AE24" s="121">
        <f>F24+J24+N24+R24+V24+Z24</f>
        <v>25</v>
      </c>
    </row>
    <row r="25" spans="1:31" ht="18" x14ac:dyDescent="0.3">
      <c r="A25" s="118">
        <v>6</v>
      </c>
      <c r="B25" s="125" t="s">
        <v>71</v>
      </c>
      <c r="C25" s="119" t="s">
        <v>16</v>
      </c>
      <c r="D25" s="120">
        <v>116</v>
      </c>
      <c r="E25" s="104">
        <v>55</v>
      </c>
      <c r="F25" s="105">
        <v>4</v>
      </c>
      <c r="G25" s="150"/>
      <c r="H25" s="120">
        <v>83</v>
      </c>
      <c r="I25" s="105">
        <v>37</v>
      </c>
      <c r="J25" s="126">
        <v>3</v>
      </c>
      <c r="K25" s="168"/>
      <c r="L25" s="122">
        <v>109</v>
      </c>
      <c r="M25" s="104">
        <v>58</v>
      </c>
      <c r="N25" s="105">
        <v>4</v>
      </c>
      <c r="O25" s="151"/>
      <c r="P25" s="120">
        <v>117</v>
      </c>
      <c r="Q25" s="104">
        <v>65</v>
      </c>
      <c r="R25" s="105">
        <v>4</v>
      </c>
      <c r="S25" s="151"/>
      <c r="T25" s="120">
        <v>120</v>
      </c>
      <c r="U25" s="104">
        <v>62</v>
      </c>
      <c r="V25" s="105">
        <v>4</v>
      </c>
      <c r="W25" s="150"/>
      <c r="X25" s="120"/>
      <c r="Y25" s="104"/>
      <c r="Z25" s="104"/>
      <c r="AA25" s="120">
        <f>D25+H25+L25+P25+T25+X25</f>
        <v>545</v>
      </c>
      <c r="AB25" s="104">
        <f>E25+I25+M25+Q25+U25+Y25</f>
        <v>277</v>
      </c>
      <c r="AC25" s="120">
        <v>13</v>
      </c>
      <c r="AD25" s="105">
        <v>6</v>
      </c>
      <c r="AE25" s="121">
        <f>F25+J25+N25+R25+V25+Z25</f>
        <v>19</v>
      </c>
    </row>
    <row r="26" spans="1:31" ht="30.6" x14ac:dyDescent="0.3">
      <c r="A26" s="118">
        <v>7</v>
      </c>
      <c r="B26" s="125" t="s">
        <v>71</v>
      </c>
      <c r="C26" s="149" t="s">
        <v>17</v>
      </c>
      <c r="D26" s="120">
        <v>88</v>
      </c>
      <c r="E26" s="104">
        <v>40</v>
      </c>
      <c r="F26" s="105">
        <v>3</v>
      </c>
      <c r="G26" s="150"/>
      <c r="H26" s="120">
        <v>57</v>
      </c>
      <c r="I26" s="105">
        <v>22</v>
      </c>
      <c r="J26" s="126">
        <v>2</v>
      </c>
      <c r="K26" s="168"/>
      <c r="L26" s="122">
        <v>69</v>
      </c>
      <c r="M26" s="104">
        <v>32</v>
      </c>
      <c r="N26" s="105">
        <v>2</v>
      </c>
      <c r="O26" s="151"/>
      <c r="P26" s="120">
        <v>58</v>
      </c>
      <c r="Q26" s="104">
        <v>24</v>
      </c>
      <c r="R26" s="105">
        <v>2</v>
      </c>
      <c r="S26" s="123"/>
      <c r="T26" s="120">
        <v>57</v>
      </c>
      <c r="U26" s="104">
        <v>22</v>
      </c>
      <c r="V26" s="105">
        <v>2</v>
      </c>
      <c r="W26" s="150"/>
      <c r="X26" s="120"/>
      <c r="Y26" s="104"/>
      <c r="Z26" s="104"/>
      <c r="AA26" s="120">
        <f>D26+H26+L26+P26+T26+X26</f>
        <v>329</v>
      </c>
      <c r="AB26" s="104">
        <f>E26+I26+M26+Q26+U26+Y26</f>
        <v>140</v>
      </c>
      <c r="AC26" s="152">
        <v>2</v>
      </c>
      <c r="AD26" s="154">
        <v>2</v>
      </c>
      <c r="AE26" s="121">
        <f>F26+J26+N26+R26+V26+Z26</f>
        <v>11</v>
      </c>
    </row>
    <row r="27" spans="1:31" ht="18" x14ac:dyDescent="0.3">
      <c r="A27" s="118">
        <v>8</v>
      </c>
      <c r="B27" s="125" t="s">
        <v>71</v>
      </c>
      <c r="C27" s="155" t="s">
        <v>18</v>
      </c>
      <c r="D27" s="120">
        <v>136</v>
      </c>
      <c r="E27" s="104">
        <v>66</v>
      </c>
      <c r="F27" s="105">
        <v>5</v>
      </c>
      <c r="G27" s="150"/>
      <c r="H27" s="120">
        <v>120</v>
      </c>
      <c r="I27" s="105">
        <v>61</v>
      </c>
      <c r="J27" s="126">
        <v>4</v>
      </c>
      <c r="K27" s="168"/>
      <c r="L27" s="122">
        <v>108</v>
      </c>
      <c r="M27" s="104">
        <v>60</v>
      </c>
      <c r="N27" s="105">
        <v>4</v>
      </c>
      <c r="O27" s="151"/>
      <c r="P27" s="120">
        <v>132</v>
      </c>
      <c r="Q27" s="104">
        <v>75</v>
      </c>
      <c r="R27" s="105">
        <v>5</v>
      </c>
      <c r="S27" s="123"/>
      <c r="T27" s="120">
        <v>114</v>
      </c>
      <c r="U27" s="104">
        <v>71</v>
      </c>
      <c r="V27" s="105">
        <v>4</v>
      </c>
      <c r="W27" s="150"/>
      <c r="X27" s="120"/>
      <c r="Y27" s="104"/>
      <c r="Z27" s="104"/>
      <c r="AA27" s="120">
        <f>D27+H27+L27+P27+T27+X27</f>
        <v>610</v>
      </c>
      <c r="AB27" s="104">
        <f>E27+I27+M27+Q27+U27+Y27</f>
        <v>333</v>
      </c>
      <c r="AC27" s="120">
        <v>17</v>
      </c>
      <c r="AD27" s="105">
        <v>9</v>
      </c>
      <c r="AE27" s="121">
        <f>F27+J27+N27+R27+V27+Z27</f>
        <v>22</v>
      </c>
    </row>
    <row r="28" spans="1:31" ht="18" x14ac:dyDescent="0.3">
      <c r="A28" s="118">
        <v>9</v>
      </c>
      <c r="B28" s="125" t="s">
        <v>71</v>
      </c>
      <c r="C28" s="155" t="s">
        <v>19</v>
      </c>
      <c r="D28" s="120">
        <v>95</v>
      </c>
      <c r="E28" s="104">
        <v>35</v>
      </c>
      <c r="F28" s="105">
        <v>3</v>
      </c>
      <c r="G28" s="150"/>
      <c r="H28" s="120">
        <v>124</v>
      </c>
      <c r="I28" s="105">
        <v>51</v>
      </c>
      <c r="J28" s="126">
        <v>4</v>
      </c>
      <c r="K28" s="168"/>
      <c r="L28" s="122">
        <v>87</v>
      </c>
      <c r="M28" s="104">
        <v>39</v>
      </c>
      <c r="N28" s="105">
        <v>3</v>
      </c>
      <c r="O28" s="151"/>
      <c r="P28" s="120">
        <v>75</v>
      </c>
      <c r="Q28" s="104">
        <v>32</v>
      </c>
      <c r="R28" s="105">
        <v>3</v>
      </c>
      <c r="S28" s="123"/>
      <c r="T28" s="120">
        <v>89</v>
      </c>
      <c r="U28" s="104">
        <v>46</v>
      </c>
      <c r="V28" s="105">
        <v>3</v>
      </c>
      <c r="W28" s="150"/>
      <c r="X28" s="120"/>
      <c r="Y28" s="104"/>
      <c r="Z28" s="104"/>
      <c r="AA28" s="120">
        <f>D28+H28+L28+P28+T28+X28</f>
        <v>470</v>
      </c>
      <c r="AB28" s="104">
        <f>E28+I28+M28+Q28+U28+Y28</f>
        <v>203</v>
      </c>
      <c r="AC28" s="152">
        <v>11</v>
      </c>
      <c r="AD28" s="154">
        <v>3</v>
      </c>
      <c r="AE28" s="121">
        <f>F28+J28+N28+R28+V28+Z28</f>
        <v>16</v>
      </c>
    </row>
    <row r="29" spans="1:31" ht="18" x14ac:dyDescent="0.3">
      <c r="A29" s="118">
        <v>10</v>
      </c>
      <c r="B29" s="125" t="s">
        <v>71</v>
      </c>
      <c r="C29" s="155" t="s">
        <v>20</v>
      </c>
      <c r="D29" s="103">
        <v>101</v>
      </c>
      <c r="E29" s="104">
        <v>37</v>
      </c>
      <c r="F29" s="105">
        <v>4</v>
      </c>
      <c r="G29" s="150"/>
      <c r="H29" s="120">
        <v>94</v>
      </c>
      <c r="I29" s="105">
        <v>29</v>
      </c>
      <c r="J29" s="126">
        <v>3</v>
      </c>
      <c r="K29" s="168"/>
      <c r="L29" s="122">
        <v>120</v>
      </c>
      <c r="M29" s="104">
        <v>56</v>
      </c>
      <c r="N29" s="105">
        <v>4</v>
      </c>
      <c r="O29" s="151"/>
      <c r="P29" s="120">
        <v>65</v>
      </c>
      <c r="Q29" s="104">
        <v>26</v>
      </c>
      <c r="R29" s="105">
        <v>2</v>
      </c>
      <c r="S29" s="123"/>
      <c r="T29" s="120">
        <v>86</v>
      </c>
      <c r="U29" s="104">
        <v>45</v>
      </c>
      <c r="V29" s="105">
        <v>3</v>
      </c>
      <c r="W29" s="150"/>
      <c r="X29" s="120"/>
      <c r="Y29" s="104"/>
      <c r="Z29" s="104"/>
      <c r="AA29" s="120">
        <f>D29+H29+L29+P29+T29+X29</f>
        <v>466</v>
      </c>
      <c r="AB29" s="104">
        <f>E29+I29+M29+Q29+U29+Y29</f>
        <v>193</v>
      </c>
      <c r="AC29" s="120">
        <v>7</v>
      </c>
      <c r="AD29" s="105">
        <v>2</v>
      </c>
      <c r="AE29" s="121">
        <f>F29+J29+N29+R29+V29+Z29</f>
        <v>16</v>
      </c>
    </row>
    <row r="30" spans="1:31" ht="18.600000000000001" thickBot="1" x14ac:dyDescent="0.35">
      <c r="A30" s="118">
        <v>11</v>
      </c>
      <c r="B30" s="125" t="s">
        <v>71</v>
      </c>
      <c r="C30" s="119" t="s">
        <v>21</v>
      </c>
      <c r="D30" s="156">
        <v>124</v>
      </c>
      <c r="E30" s="104">
        <v>46</v>
      </c>
      <c r="F30" s="105">
        <v>4</v>
      </c>
      <c r="G30" s="150"/>
      <c r="H30" s="120">
        <v>121</v>
      </c>
      <c r="I30" s="105">
        <v>55</v>
      </c>
      <c r="J30" s="139">
        <v>4</v>
      </c>
      <c r="K30" s="169"/>
      <c r="L30" s="122">
        <v>113</v>
      </c>
      <c r="M30" s="104">
        <v>45</v>
      </c>
      <c r="N30" s="105">
        <v>4</v>
      </c>
      <c r="O30" s="151"/>
      <c r="P30" s="120">
        <v>114</v>
      </c>
      <c r="Q30" s="104">
        <v>42</v>
      </c>
      <c r="R30" s="105">
        <v>4</v>
      </c>
      <c r="S30" s="123"/>
      <c r="T30" s="120">
        <v>113</v>
      </c>
      <c r="U30" s="104">
        <v>40</v>
      </c>
      <c r="V30" s="105">
        <v>4</v>
      </c>
      <c r="W30" s="150"/>
      <c r="X30" s="120"/>
      <c r="Y30" s="104"/>
      <c r="Z30" s="104"/>
      <c r="AA30" s="120">
        <f>D30+H30+L30+P30+T30+X30</f>
        <v>585</v>
      </c>
      <c r="AB30" s="104">
        <f>E30+I30+M30+Q30+U30+Y30</f>
        <v>228</v>
      </c>
      <c r="AC30" s="141">
        <v>14</v>
      </c>
      <c r="AD30" s="157">
        <v>7</v>
      </c>
      <c r="AE30" s="121">
        <f>F30+J30+N30+R30+V30+Z30</f>
        <v>20</v>
      </c>
    </row>
    <row r="31" spans="1:31" ht="31.8" thickBot="1" x14ac:dyDescent="0.35">
      <c r="A31" s="134"/>
      <c r="B31" s="135" t="s">
        <v>71</v>
      </c>
      <c r="C31" s="158" t="s">
        <v>53</v>
      </c>
      <c r="D31" s="131">
        <f>SUM(D20:D30)</f>
        <v>1300</v>
      </c>
      <c r="E31" s="159">
        <f>SUM(E20:E30)</f>
        <v>602</v>
      </c>
      <c r="F31" s="160">
        <f>SUM(F20:F30)</f>
        <v>45</v>
      </c>
      <c r="G31" s="161"/>
      <c r="H31" s="131">
        <f t="shared" ref="H31:N31" si="2">SUM(H20:H30)</f>
        <v>1213</v>
      </c>
      <c r="I31" s="160">
        <f t="shared" si="2"/>
        <v>561</v>
      </c>
      <c r="J31" s="160">
        <f t="shared" si="2"/>
        <v>41</v>
      </c>
      <c r="K31" s="165"/>
      <c r="L31" s="352">
        <f t="shared" si="2"/>
        <v>1234</v>
      </c>
      <c r="M31" s="159">
        <f t="shared" si="2"/>
        <v>615</v>
      </c>
      <c r="N31" s="160">
        <f t="shared" si="2"/>
        <v>43</v>
      </c>
      <c r="O31" s="164"/>
      <c r="P31" s="131">
        <f>SUM(P20:P30)</f>
        <v>1210</v>
      </c>
      <c r="Q31" s="159">
        <f>SUM(Q20:Q30)</f>
        <v>574</v>
      </c>
      <c r="R31" s="160">
        <f>SUM(R20:R30)</f>
        <v>42</v>
      </c>
      <c r="S31" s="165"/>
      <c r="T31" s="131">
        <f>SUM(T20:T30)</f>
        <v>1178</v>
      </c>
      <c r="U31" s="159">
        <f>SUM(U20:U30)</f>
        <v>561</v>
      </c>
      <c r="V31" s="160">
        <f>SUM(V20:V30)</f>
        <v>41</v>
      </c>
      <c r="W31" s="161"/>
      <c r="X31" s="131">
        <f t="shared" ref="X31:AE31" si="3">SUM(X20:X30)</f>
        <v>0</v>
      </c>
      <c r="Y31" s="159">
        <f t="shared" si="3"/>
        <v>0</v>
      </c>
      <c r="Z31" s="159">
        <f t="shared" si="3"/>
        <v>0</v>
      </c>
      <c r="AA31" s="131">
        <f t="shared" si="3"/>
        <v>6135</v>
      </c>
      <c r="AB31" s="159">
        <f t="shared" si="3"/>
        <v>2913</v>
      </c>
      <c r="AC31" s="131">
        <f t="shared" si="3"/>
        <v>156</v>
      </c>
      <c r="AD31" s="159">
        <f t="shared" si="3"/>
        <v>71</v>
      </c>
      <c r="AE31" s="166">
        <f t="shared" si="3"/>
        <v>212</v>
      </c>
    </row>
    <row r="32" spans="1:31" ht="18" x14ac:dyDescent="0.3">
      <c r="A32" s="170" t="s">
        <v>78</v>
      </c>
      <c r="B32" s="136"/>
      <c r="C32" s="171"/>
      <c r="D32" s="137"/>
      <c r="E32" s="138"/>
      <c r="F32" s="138"/>
      <c r="G32" s="172"/>
      <c r="H32" s="137"/>
      <c r="I32" s="138"/>
      <c r="J32" s="138"/>
      <c r="K32" s="138"/>
      <c r="L32" s="137"/>
      <c r="M32" s="138"/>
      <c r="N32" s="138"/>
      <c r="O32" s="173"/>
      <c r="P32" s="137"/>
      <c r="Q32" s="138"/>
      <c r="R32" s="138"/>
      <c r="S32" s="138"/>
      <c r="T32" s="137"/>
      <c r="U32" s="138"/>
      <c r="V32" s="138"/>
      <c r="W32" s="172"/>
      <c r="X32" s="137"/>
      <c r="Y32" s="138"/>
      <c r="Z32" s="138"/>
      <c r="AA32" s="137"/>
      <c r="AB32" s="138"/>
      <c r="AC32" s="137"/>
      <c r="AD32" s="138"/>
      <c r="AE32" s="138"/>
    </row>
    <row r="33" spans="1:31" x14ac:dyDescent="0.25">
      <c r="A33" s="174" t="s">
        <v>77</v>
      </c>
    </row>
    <row r="34" spans="1:31" ht="30.6" x14ac:dyDescent="0.3">
      <c r="A34" s="118">
        <v>1</v>
      </c>
      <c r="B34" s="125" t="s">
        <v>79</v>
      </c>
      <c r="C34" s="149" t="s">
        <v>80</v>
      </c>
      <c r="D34" s="120">
        <f>32+31+31+31+32</f>
        <v>157</v>
      </c>
      <c r="E34" s="104">
        <f>20+23+18+15+15</f>
        <v>91</v>
      </c>
      <c r="F34" s="105">
        <v>5</v>
      </c>
      <c r="G34" s="150"/>
      <c r="H34" s="120">
        <f>31+30+1+30+31+30</f>
        <v>153</v>
      </c>
      <c r="I34" s="105">
        <f>19+16+0+17+16+16</f>
        <v>84</v>
      </c>
      <c r="J34" s="154">
        <v>5</v>
      </c>
      <c r="K34" s="167" t="s">
        <v>74</v>
      </c>
      <c r="L34" s="122">
        <f>34+28+1+32+29+30</f>
        <v>154</v>
      </c>
      <c r="M34" s="104">
        <f>20+13+0+18+15+11</f>
        <v>77</v>
      </c>
      <c r="N34" s="105">
        <v>5</v>
      </c>
      <c r="O34" s="151" t="s">
        <v>74</v>
      </c>
      <c r="P34" s="120">
        <f>27+32+32+30+31</f>
        <v>152</v>
      </c>
      <c r="Q34" s="104">
        <f>17+16+18+18+17</f>
        <v>86</v>
      </c>
      <c r="R34" s="105">
        <v>5</v>
      </c>
      <c r="S34" s="167"/>
      <c r="T34" s="120">
        <f>25+27+30+1+29+26</f>
        <v>138</v>
      </c>
      <c r="U34" s="104">
        <f>16+10+15+1+11+11</f>
        <v>64</v>
      </c>
      <c r="V34" s="105">
        <v>5</v>
      </c>
      <c r="W34" s="150" t="s">
        <v>74</v>
      </c>
      <c r="X34" s="120"/>
      <c r="Y34" s="104"/>
      <c r="Z34" s="104"/>
      <c r="AA34" s="120">
        <f>D34+H34+L34+P34+T34+X34</f>
        <v>754</v>
      </c>
      <c r="AB34" s="104">
        <f>E34+I34+M34+Q34+U34+Y34</f>
        <v>402</v>
      </c>
      <c r="AC34" s="128">
        <v>17</v>
      </c>
      <c r="AD34" s="126">
        <v>8</v>
      </c>
      <c r="AE34" s="121">
        <f>F34+J34+N34+R34+V34+Z34</f>
        <v>25</v>
      </c>
    </row>
    <row r="35" spans="1:31" ht="27.6" x14ac:dyDescent="0.3">
      <c r="A35" s="118">
        <v>2</v>
      </c>
      <c r="B35" s="125" t="s">
        <v>79</v>
      </c>
      <c r="C35" s="149" t="s">
        <v>75</v>
      </c>
      <c r="D35" s="120">
        <f>29+30+31+31</f>
        <v>121</v>
      </c>
      <c r="E35" s="104">
        <f>9+11+12+16</f>
        <v>48</v>
      </c>
      <c r="F35" s="105">
        <v>4</v>
      </c>
      <c r="G35" s="150"/>
      <c r="H35" s="120">
        <f>31+31+30+31+29</f>
        <v>152</v>
      </c>
      <c r="I35" s="105">
        <f>17+11+15+14+11</f>
        <v>68</v>
      </c>
      <c r="J35" s="126">
        <v>5</v>
      </c>
      <c r="K35" s="168"/>
      <c r="L35" s="122">
        <f>30+30+30+29+28</f>
        <v>147</v>
      </c>
      <c r="M35" s="104">
        <f>14+11+12+12+12</f>
        <v>61</v>
      </c>
      <c r="N35" s="105">
        <v>5</v>
      </c>
      <c r="O35" s="151"/>
      <c r="P35" s="120">
        <f>27+25+27+29+30</f>
        <v>138</v>
      </c>
      <c r="Q35" s="104">
        <f>14+13+12+10+19</f>
        <v>68</v>
      </c>
      <c r="R35" s="105">
        <v>5</v>
      </c>
      <c r="S35" s="123"/>
      <c r="T35" s="120">
        <f>26+27+27+28+29</f>
        <v>137</v>
      </c>
      <c r="U35" s="104">
        <f>11+13+14+12+17</f>
        <v>67</v>
      </c>
      <c r="V35" s="105">
        <v>5</v>
      </c>
      <c r="W35" s="150"/>
      <c r="X35" s="120"/>
      <c r="Y35" s="104"/>
      <c r="Z35" s="104"/>
      <c r="AA35" s="120">
        <f>D35+H35+L35+P35+T35+X35</f>
        <v>695</v>
      </c>
      <c r="AB35" s="104">
        <f>E35+I35+M35+Q35+U35+Y35</f>
        <v>312</v>
      </c>
      <c r="AC35" s="120">
        <v>13</v>
      </c>
      <c r="AD35" s="105">
        <v>6</v>
      </c>
      <c r="AE35" s="121">
        <f>F35+J35+N35+R35+V35+Z35</f>
        <v>24</v>
      </c>
    </row>
    <row r="36" spans="1:31" ht="33" x14ac:dyDescent="0.3">
      <c r="A36" s="118">
        <v>3</v>
      </c>
      <c r="B36" s="125" t="s">
        <v>79</v>
      </c>
      <c r="C36" s="149" t="s">
        <v>76</v>
      </c>
      <c r="D36" s="120">
        <f>28+28+29</f>
        <v>85</v>
      </c>
      <c r="E36" s="104">
        <f>12+16+16</f>
        <v>44</v>
      </c>
      <c r="F36" s="105">
        <v>3</v>
      </c>
      <c r="G36" s="150"/>
      <c r="H36" s="120">
        <f>30+29+28</f>
        <v>87</v>
      </c>
      <c r="I36" s="105">
        <f>20+16+16</f>
        <v>52</v>
      </c>
      <c r="J36" s="126">
        <v>3</v>
      </c>
      <c r="K36" s="168"/>
      <c r="L36" s="122">
        <f>24+22+1</f>
        <v>47</v>
      </c>
      <c r="M36" s="104">
        <f>14+15+0</f>
        <v>29</v>
      </c>
      <c r="N36" s="105">
        <v>2</v>
      </c>
      <c r="O36" s="151" t="s">
        <v>74</v>
      </c>
      <c r="P36" s="120">
        <f>28+26+1+29</f>
        <v>84</v>
      </c>
      <c r="Q36" s="104">
        <f>13+12+0+13</f>
        <v>38</v>
      </c>
      <c r="R36" s="105">
        <v>3</v>
      </c>
      <c r="S36" s="151" t="s">
        <v>74</v>
      </c>
      <c r="T36" s="120">
        <f>25+28+25</f>
        <v>78</v>
      </c>
      <c r="U36" s="104">
        <f>13+16+10</f>
        <v>39</v>
      </c>
      <c r="V36" s="105">
        <v>3</v>
      </c>
      <c r="W36" s="150"/>
      <c r="X36" s="120"/>
      <c r="Y36" s="104"/>
      <c r="Z36" s="104"/>
      <c r="AA36" s="120">
        <f>D36+H36+L36+P36+T36+X36</f>
        <v>381</v>
      </c>
      <c r="AB36" s="104">
        <f>E36+I36+M36+Q36+U36+Y36</f>
        <v>202</v>
      </c>
      <c r="AC36" s="152">
        <v>23</v>
      </c>
      <c r="AD36" s="154">
        <v>14</v>
      </c>
      <c r="AE36" s="121">
        <f>F36+J36+N36+R36+V36+Z36</f>
        <v>14</v>
      </c>
    </row>
    <row r="37" spans="1:31" ht="18" x14ac:dyDescent="0.3">
      <c r="A37" s="118">
        <v>4</v>
      </c>
      <c r="B37" s="125" t="s">
        <v>79</v>
      </c>
      <c r="C37" s="155" t="s">
        <v>14</v>
      </c>
      <c r="D37" s="120">
        <f>32+30+32+31</f>
        <v>125</v>
      </c>
      <c r="E37" s="104">
        <f>11+12+14+14</f>
        <v>51</v>
      </c>
      <c r="F37" s="105">
        <v>4</v>
      </c>
      <c r="G37" s="150"/>
      <c r="H37" s="120">
        <f>30+28+29+29</f>
        <v>116</v>
      </c>
      <c r="I37" s="105">
        <f>18+9+7+9</f>
        <v>43</v>
      </c>
      <c r="J37" s="126">
        <v>4</v>
      </c>
      <c r="K37" s="168"/>
      <c r="L37" s="122">
        <f>32+33+29+32</f>
        <v>126</v>
      </c>
      <c r="M37" s="104">
        <f>9+18+13+17</f>
        <v>57</v>
      </c>
      <c r="N37" s="105">
        <v>4</v>
      </c>
      <c r="O37" s="151"/>
      <c r="P37" s="120">
        <f>32+32+32+31</f>
        <v>127</v>
      </c>
      <c r="Q37" s="104">
        <f>13+14+19+16</f>
        <v>62</v>
      </c>
      <c r="R37" s="105">
        <v>4</v>
      </c>
      <c r="S37" s="123"/>
      <c r="T37" s="120">
        <f>33+32+31+31</f>
        <v>127</v>
      </c>
      <c r="U37" s="104">
        <f>9+11+13+17</f>
        <v>50</v>
      </c>
      <c r="V37" s="105">
        <v>4</v>
      </c>
      <c r="W37" s="150"/>
      <c r="X37" s="120"/>
      <c r="Y37" s="104"/>
      <c r="Z37" s="104"/>
      <c r="AA37" s="120">
        <f>D37+H37+L37+P37+T37+X37</f>
        <v>621</v>
      </c>
      <c r="AB37" s="104">
        <f>E37+I37+M37+Q37+U37+Y37</f>
        <v>263</v>
      </c>
      <c r="AC37" s="120">
        <v>38</v>
      </c>
      <c r="AD37" s="105">
        <v>16</v>
      </c>
      <c r="AE37" s="121">
        <f>F37+J37+N37+R37+V37+Z37</f>
        <v>20</v>
      </c>
    </row>
    <row r="38" spans="1:31" ht="18" x14ac:dyDescent="0.3">
      <c r="A38" s="118">
        <v>5</v>
      </c>
      <c r="B38" s="125" t="s">
        <v>79</v>
      </c>
      <c r="C38" s="155" t="s">
        <v>15</v>
      </c>
      <c r="D38" s="103">
        <f>30+1+30+31+32</f>
        <v>124</v>
      </c>
      <c r="E38" s="104">
        <f>14+13+15+18</f>
        <v>60</v>
      </c>
      <c r="F38" s="105">
        <v>4</v>
      </c>
      <c r="G38" s="150" t="s">
        <v>74</v>
      </c>
      <c r="H38" s="120">
        <f>28+26+22+28+25</f>
        <v>129</v>
      </c>
      <c r="I38" s="105">
        <f>18+16+12+17+12</f>
        <v>75</v>
      </c>
      <c r="J38" s="126">
        <v>5</v>
      </c>
      <c r="K38" s="168"/>
      <c r="L38" s="122">
        <f>26+29+28+27+24</f>
        <v>134</v>
      </c>
      <c r="M38" s="104">
        <f>14+21+16+21+17</f>
        <v>89</v>
      </c>
      <c r="N38" s="105">
        <v>5</v>
      </c>
      <c r="O38" s="151"/>
      <c r="P38" s="120">
        <f>29+25+23+28+22</f>
        <v>127</v>
      </c>
      <c r="Q38" s="104">
        <f>15+10+11+17+14</f>
        <v>67</v>
      </c>
      <c r="R38" s="105">
        <v>5</v>
      </c>
      <c r="S38" s="123"/>
      <c r="T38" s="120">
        <f>31+31+28+1+29+28</f>
        <v>148</v>
      </c>
      <c r="U38" s="104">
        <f>19+16+18+0+15+13</f>
        <v>81</v>
      </c>
      <c r="V38" s="105">
        <v>5</v>
      </c>
      <c r="W38" s="150" t="s">
        <v>74</v>
      </c>
      <c r="X38" s="120"/>
      <c r="Y38" s="104"/>
      <c r="Z38" s="104"/>
      <c r="AA38" s="120">
        <f>D38+H38+L38+P38+T38+X38</f>
        <v>662</v>
      </c>
      <c r="AB38" s="104">
        <f>E38+I38+M38+Q38+U38+Y38</f>
        <v>372</v>
      </c>
      <c r="AC38" s="152">
        <v>7</v>
      </c>
      <c r="AD38" s="154">
        <v>4</v>
      </c>
      <c r="AE38" s="121">
        <f>F38+J38+N38+R38+V38+Z38</f>
        <v>24</v>
      </c>
    </row>
    <row r="39" spans="1:31" ht="18" x14ac:dyDescent="0.3">
      <c r="A39" s="118">
        <v>6</v>
      </c>
      <c r="B39" s="125" t="s">
        <v>79</v>
      </c>
      <c r="C39" s="119" t="s">
        <v>16</v>
      </c>
      <c r="D39" s="120">
        <f>25+24+26+26</f>
        <v>101</v>
      </c>
      <c r="E39" s="104">
        <f>9+13+9+18</f>
        <v>49</v>
      </c>
      <c r="F39" s="105">
        <v>4</v>
      </c>
      <c r="G39" s="150"/>
      <c r="H39" s="120">
        <f>27+30+30+30</f>
        <v>117</v>
      </c>
      <c r="I39" s="105">
        <f>14+15+16+11</f>
        <v>56</v>
      </c>
      <c r="J39" s="126">
        <v>4</v>
      </c>
      <c r="K39" s="168"/>
      <c r="L39" s="122">
        <f>30+25+27</f>
        <v>82</v>
      </c>
      <c r="M39" s="104">
        <f>12+13+12</f>
        <v>37</v>
      </c>
      <c r="N39" s="105">
        <v>3</v>
      </c>
      <c r="O39" s="151"/>
      <c r="P39" s="120">
        <f>28+26+24+31</f>
        <v>109</v>
      </c>
      <c r="Q39" s="104">
        <f>17+16+15+6</f>
        <v>54</v>
      </c>
      <c r="R39" s="105">
        <v>4</v>
      </c>
      <c r="S39" s="151"/>
      <c r="T39" s="120">
        <f>33+25+21+31</f>
        <v>110</v>
      </c>
      <c r="U39" s="104">
        <f>23+16+18+3</f>
        <v>60</v>
      </c>
      <c r="V39" s="105">
        <v>4</v>
      </c>
      <c r="W39" s="150"/>
      <c r="X39" s="120"/>
      <c r="Y39" s="104"/>
      <c r="Z39" s="104"/>
      <c r="AA39" s="120">
        <f>D39+H39+L39+P39+T39+X39</f>
        <v>519</v>
      </c>
      <c r="AB39" s="104">
        <f>E39+I39+M39+Q39+U39+Y39</f>
        <v>256</v>
      </c>
      <c r="AC39" s="120">
        <v>11</v>
      </c>
      <c r="AD39" s="105">
        <v>4</v>
      </c>
      <c r="AE39" s="121">
        <f>F39+J39+N39+R39+V39+Z39</f>
        <v>19</v>
      </c>
    </row>
    <row r="40" spans="1:31" ht="30.6" x14ac:dyDescent="0.3">
      <c r="A40" s="118">
        <v>7</v>
      </c>
      <c r="B40" s="125" t="s">
        <v>79</v>
      </c>
      <c r="C40" s="149" t="s">
        <v>17</v>
      </c>
      <c r="D40" s="120">
        <f>28+30</f>
        <v>58</v>
      </c>
      <c r="E40" s="104">
        <f>15+17</f>
        <v>32</v>
      </c>
      <c r="F40" s="105">
        <v>2</v>
      </c>
      <c r="G40" s="150"/>
      <c r="H40" s="120">
        <f>29+28+31</f>
        <v>88</v>
      </c>
      <c r="I40" s="105">
        <f>11+11+18</f>
        <v>40</v>
      </c>
      <c r="J40" s="126">
        <v>3</v>
      </c>
      <c r="K40" s="168"/>
      <c r="L40" s="122">
        <f>25+30</f>
        <v>55</v>
      </c>
      <c r="M40" s="104">
        <f>10+10</f>
        <v>20</v>
      </c>
      <c r="N40" s="105">
        <v>2</v>
      </c>
      <c r="O40" s="151"/>
      <c r="P40" s="120">
        <f>36+36</f>
        <v>72</v>
      </c>
      <c r="Q40" s="104">
        <f>16+18</f>
        <v>34</v>
      </c>
      <c r="R40" s="105">
        <v>2</v>
      </c>
      <c r="S40" s="123"/>
      <c r="T40" s="120">
        <f>27+31</f>
        <v>58</v>
      </c>
      <c r="U40" s="104">
        <f>12+12</f>
        <v>24</v>
      </c>
      <c r="V40" s="105">
        <v>2</v>
      </c>
      <c r="W40" s="150"/>
      <c r="X40" s="120"/>
      <c r="Y40" s="104"/>
      <c r="Z40" s="104"/>
      <c r="AA40" s="120">
        <f>D40+H40+L40+P40+T40+X40</f>
        <v>331</v>
      </c>
      <c r="AB40" s="104">
        <f>E40+I40+M40+Q40+U40+Y40</f>
        <v>150</v>
      </c>
      <c r="AC40" s="152">
        <v>5</v>
      </c>
      <c r="AD40" s="154">
        <v>4</v>
      </c>
      <c r="AE40" s="121">
        <f>F40+J40+N40+R40+V40+Z40</f>
        <v>11</v>
      </c>
    </row>
    <row r="41" spans="1:31" ht="18" x14ac:dyDescent="0.3">
      <c r="A41" s="118">
        <v>8</v>
      </c>
      <c r="B41" s="125" t="s">
        <v>79</v>
      </c>
      <c r="C41" s="155" t="s">
        <v>18</v>
      </c>
      <c r="D41" s="120">
        <v>84</v>
      </c>
      <c r="E41" s="104">
        <f>10+9+14</f>
        <v>33</v>
      </c>
      <c r="F41" s="105">
        <v>3</v>
      </c>
      <c r="G41" s="150"/>
      <c r="H41" s="120">
        <f>27+27+29+25+27</f>
        <v>135</v>
      </c>
      <c r="I41" s="105">
        <f>11+10+11+16+17</f>
        <v>65</v>
      </c>
      <c r="J41" s="126">
        <v>5</v>
      </c>
      <c r="K41" s="168"/>
      <c r="L41" s="122">
        <f>32+31+25+25</f>
        <v>113</v>
      </c>
      <c r="M41" s="104">
        <f>15+15+13+12</f>
        <v>55</v>
      </c>
      <c r="N41" s="105">
        <v>4</v>
      </c>
      <c r="O41" s="151"/>
      <c r="P41" s="120">
        <f>27+27+27+29</f>
        <v>110</v>
      </c>
      <c r="Q41" s="104">
        <f>15+11+18+17</f>
        <v>61</v>
      </c>
      <c r="R41" s="105">
        <v>4</v>
      </c>
      <c r="S41" s="123"/>
      <c r="T41" s="120">
        <f>28+28+27+24+27</f>
        <v>134</v>
      </c>
      <c r="U41" s="104">
        <f>14+14+16+15+17</f>
        <v>76</v>
      </c>
      <c r="V41" s="105">
        <v>5</v>
      </c>
      <c r="W41" s="150"/>
      <c r="X41" s="120"/>
      <c r="Y41" s="104"/>
      <c r="Z41" s="104"/>
      <c r="AA41" s="120">
        <f>D41+H41+L41+P41+T41+X41</f>
        <v>576</v>
      </c>
      <c r="AB41" s="104">
        <f>E41+I41+M41+Q41+U41+Y41</f>
        <v>290</v>
      </c>
      <c r="AC41" s="120">
        <v>17</v>
      </c>
      <c r="AD41" s="105">
        <v>7</v>
      </c>
      <c r="AE41" s="121">
        <f>F41+J41+N41+R41+V41+Z41</f>
        <v>21</v>
      </c>
    </row>
    <row r="42" spans="1:31" ht="18" x14ac:dyDescent="0.3">
      <c r="A42" s="118">
        <v>9</v>
      </c>
      <c r="B42" s="125" t="s">
        <v>79</v>
      </c>
      <c r="C42" s="155" t="s">
        <v>19</v>
      </c>
      <c r="D42" s="120">
        <f>29+29+29+28</f>
        <v>115</v>
      </c>
      <c r="E42" s="104">
        <f>12+13+12+14</f>
        <v>51</v>
      </c>
      <c r="F42" s="105">
        <v>4</v>
      </c>
      <c r="G42" s="150"/>
      <c r="H42" s="120">
        <f>31+31+32</f>
        <v>94</v>
      </c>
      <c r="I42" s="105">
        <f>10+13+12</f>
        <v>35</v>
      </c>
      <c r="J42" s="126">
        <v>3</v>
      </c>
      <c r="K42" s="168"/>
      <c r="L42" s="122">
        <f>30+28+28+29</f>
        <v>115</v>
      </c>
      <c r="M42" s="104">
        <f>12+12+12+13</f>
        <v>49</v>
      </c>
      <c r="N42" s="105">
        <v>4</v>
      </c>
      <c r="O42" s="151"/>
      <c r="P42" s="120">
        <f>29+28+29</f>
        <v>86</v>
      </c>
      <c r="Q42" s="104">
        <f>12+11+13</f>
        <v>36</v>
      </c>
      <c r="R42" s="105">
        <v>3</v>
      </c>
      <c r="S42" s="123"/>
      <c r="T42" s="120">
        <f>25+22+23</f>
        <v>70</v>
      </c>
      <c r="U42" s="104">
        <f>11+10+10</f>
        <v>31</v>
      </c>
      <c r="V42" s="105">
        <v>3</v>
      </c>
      <c r="W42" s="150"/>
      <c r="X42" s="120"/>
      <c r="Y42" s="104"/>
      <c r="Z42" s="104"/>
      <c r="AA42" s="120">
        <f>D42+H42+L42+P42+T42+X42</f>
        <v>480</v>
      </c>
      <c r="AB42" s="104">
        <f>E42+I42+M42+Q42+U42+Y42</f>
        <v>202</v>
      </c>
      <c r="AC42" s="152">
        <v>17</v>
      </c>
      <c r="AD42" s="154">
        <v>9</v>
      </c>
      <c r="AE42" s="121">
        <f>F42+J42+N42+R42+V42+Z42</f>
        <v>17</v>
      </c>
    </row>
    <row r="43" spans="1:31" ht="18" x14ac:dyDescent="0.3">
      <c r="A43" s="118">
        <v>10</v>
      </c>
      <c r="B43" s="125" t="s">
        <v>79</v>
      </c>
      <c r="C43" s="155" t="s">
        <v>20</v>
      </c>
      <c r="D43" s="103">
        <f>16+6+27+27+28</f>
        <v>104</v>
      </c>
      <c r="E43" s="104">
        <f>9+1+16+16+14</f>
        <v>56</v>
      </c>
      <c r="F43" s="105">
        <v>4</v>
      </c>
      <c r="G43" s="150" t="s">
        <v>74</v>
      </c>
      <c r="H43" s="120">
        <f>14+3+1+1+28+24+27</f>
        <v>98</v>
      </c>
      <c r="I43" s="105">
        <f>4+2+1+0+10+6+11</f>
        <v>34</v>
      </c>
      <c r="J43" s="126">
        <v>4</v>
      </c>
      <c r="K43" s="150" t="s">
        <v>74</v>
      </c>
      <c r="L43" s="122">
        <f>30+31+32</f>
        <v>93</v>
      </c>
      <c r="M43" s="104">
        <f>8+9+10</f>
        <v>27</v>
      </c>
      <c r="N43" s="105">
        <v>3</v>
      </c>
      <c r="O43" s="151"/>
      <c r="P43" s="120">
        <f>28+31+30+27</f>
        <v>116</v>
      </c>
      <c r="Q43" s="104">
        <f>14+15+15+13</f>
        <v>57</v>
      </c>
      <c r="R43" s="105">
        <v>4</v>
      </c>
      <c r="S43" s="123"/>
      <c r="T43" s="120">
        <f>33+33</f>
        <v>66</v>
      </c>
      <c r="U43" s="104">
        <f>14+14</f>
        <v>28</v>
      </c>
      <c r="V43" s="105">
        <v>2</v>
      </c>
      <c r="W43" s="150"/>
      <c r="X43" s="120"/>
      <c r="Y43" s="104"/>
      <c r="Z43" s="104"/>
      <c r="AA43" s="120">
        <f>D43+H43+L43+P43+T43+X43</f>
        <v>477</v>
      </c>
      <c r="AB43" s="104">
        <f>E43+I43+M43+Q43+U43+Y43</f>
        <v>202</v>
      </c>
      <c r="AC43" s="120">
        <v>9</v>
      </c>
      <c r="AD43" s="105">
        <v>3</v>
      </c>
      <c r="AE43" s="121">
        <f>F43+J43+N43+R43+V43+Z43</f>
        <v>17</v>
      </c>
    </row>
    <row r="44" spans="1:31" ht="16.8" thickBot="1" x14ac:dyDescent="0.35">
      <c r="A44" s="118">
        <v>11</v>
      </c>
      <c r="B44" s="125" t="s">
        <v>79</v>
      </c>
      <c r="C44" s="119" t="s">
        <v>21</v>
      </c>
      <c r="D44" s="156">
        <f>28+28+29+26</f>
        <v>111</v>
      </c>
      <c r="E44" s="104">
        <f>9+9+10+11</f>
        <v>39</v>
      </c>
      <c r="F44" s="105">
        <v>4</v>
      </c>
      <c r="G44" s="150"/>
      <c r="H44" s="120">
        <f>31+1+31+30+32</f>
        <v>125</v>
      </c>
      <c r="I44" s="105">
        <f>6+0+11+9+21</f>
        <v>47</v>
      </c>
      <c r="J44" s="139">
        <v>4</v>
      </c>
      <c r="K44" s="150" t="s">
        <v>74</v>
      </c>
      <c r="L44" s="122">
        <f>29+31+28+28+1</f>
        <v>117</v>
      </c>
      <c r="M44" s="104">
        <f>12+14+15+11</f>
        <v>52</v>
      </c>
      <c r="N44" s="105">
        <v>4</v>
      </c>
      <c r="O44" s="150" t="s">
        <v>74</v>
      </c>
      <c r="P44" s="120">
        <f>30+29+31+31</f>
        <v>121</v>
      </c>
      <c r="Q44" s="104">
        <f>8+10+14+16</f>
        <v>48</v>
      </c>
      <c r="R44" s="105">
        <v>4</v>
      </c>
      <c r="S44" s="123"/>
      <c r="T44" s="120">
        <f>30+30+23+29</f>
        <v>112</v>
      </c>
      <c r="U44" s="104">
        <f>9+10+8+12</f>
        <v>39</v>
      </c>
      <c r="V44" s="105">
        <v>4</v>
      </c>
      <c r="W44" s="150"/>
      <c r="X44" s="120"/>
      <c r="Y44" s="104"/>
      <c r="Z44" s="104"/>
      <c r="AA44" s="120">
        <f>D44+H44+L44+P44+T44+X44</f>
        <v>586</v>
      </c>
      <c r="AB44" s="104">
        <f>E44+I44+M44+Q44+U44+Y44</f>
        <v>225</v>
      </c>
      <c r="AC44" s="141">
        <v>14</v>
      </c>
      <c r="AD44" s="157">
        <v>6</v>
      </c>
      <c r="AE44" s="121">
        <f>F44+J44+N44+R44+V44+Z44</f>
        <v>20</v>
      </c>
    </row>
    <row r="45" spans="1:31" ht="31.8" thickBot="1" x14ac:dyDescent="0.35">
      <c r="A45" s="134"/>
      <c r="B45" s="135" t="s">
        <v>79</v>
      </c>
      <c r="C45" s="158" t="s">
        <v>53</v>
      </c>
      <c r="D45" s="131">
        <f>SUM(D34:D44)</f>
        <v>1185</v>
      </c>
      <c r="E45" s="159">
        <f>SUM(E34:E44)</f>
        <v>554</v>
      </c>
      <c r="F45" s="160">
        <f>SUM(F34:F44)</f>
        <v>41</v>
      </c>
      <c r="G45" s="161"/>
      <c r="H45" s="131">
        <f>SUM(H34:H44)</f>
        <v>1294</v>
      </c>
      <c r="I45" s="160">
        <f>SUM(I34:I44)</f>
        <v>599</v>
      </c>
      <c r="J45" s="160">
        <f>SUM(J34:J44)</f>
        <v>45</v>
      </c>
      <c r="K45" s="165"/>
      <c r="L45" s="352">
        <f>SUM(L34:L44)</f>
        <v>1183</v>
      </c>
      <c r="M45" s="159">
        <f>SUM(M34:M44)</f>
        <v>553</v>
      </c>
      <c r="N45" s="160">
        <f>SUM(N34:N44)</f>
        <v>41</v>
      </c>
      <c r="O45" s="164"/>
      <c r="P45" s="131">
        <f>SUM(P34:P44)</f>
        <v>1242</v>
      </c>
      <c r="Q45" s="159">
        <f>SUM(Q34:Q44)</f>
        <v>611</v>
      </c>
      <c r="R45" s="160">
        <f>SUM(R34:R44)</f>
        <v>43</v>
      </c>
      <c r="S45" s="165"/>
      <c r="T45" s="131">
        <f>SUM(T34:T44)</f>
        <v>1178</v>
      </c>
      <c r="U45" s="159">
        <f>SUM(U34:U44)</f>
        <v>559</v>
      </c>
      <c r="V45" s="160">
        <f>SUM(V34:V44)</f>
        <v>42</v>
      </c>
      <c r="W45" s="161"/>
      <c r="X45" s="131">
        <f t="shared" ref="X45:AE45" si="4">SUM(X34:X44)</f>
        <v>0</v>
      </c>
      <c r="Y45" s="159">
        <f t="shared" si="4"/>
        <v>0</v>
      </c>
      <c r="Z45" s="159">
        <f t="shared" si="4"/>
        <v>0</v>
      </c>
      <c r="AA45" s="131">
        <f t="shared" si="4"/>
        <v>6082</v>
      </c>
      <c r="AB45" s="159">
        <f t="shared" si="4"/>
        <v>2876</v>
      </c>
      <c r="AC45" s="131">
        <f t="shared" si="4"/>
        <v>171</v>
      </c>
      <c r="AD45" s="159">
        <f t="shared" si="4"/>
        <v>81</v>
      </c>
      <c r="AE45" s="166">
        <f t="shared" si="4"/>
        <v>212</v>
      </c>
    </row>
    <row r="46" spans="1:31" ht="18" x14ac:dyDescent="0.3">
      <c r="A46" s="170" t="s">
        <v>78</v>
      </c>
      <c r="B46" s="136"/>
      <c r="C46" s="171"/>
      <c r="D46" s="137"/>
      <c r="E46" s="138"/>
      <c r="F46" s="138"/>
      <c r="G46" s="172"/>
      <c r="H46" s="137"/>
      <c r="I46" s="138"/>
      <c r="J46" s="138"/>
      <c r="K46" s="138"/>
      <c r="L46" s="137"/>
      <c r="M46" s="138"/>
      <c r="N46" s="138"/>
      <c r="O46" s="173"/>
      <c r="P46" s="137"/>
      <c r="Q46" s="138"/>
      <c r="R46" s="138"/>
      <c r="S46" s="138"/>
      <c r="T46" s="137"/>
      <c r="U46" s="138"/>
      <c r="V46" s="138"/>
      <c r="W46" s="172"/>
      <c r="X46" s="137"/>
      <c r="Y46" s="138"/>
      <c r="Z46" s="138"/>
      <c r="AA46" s="137"/>
      <c r="AB46" s="138"/>
      <c r="AC46" s="137"/>
      <c r="AD46" s="138"/>
      <c r="AE46" s="138"/>
    </row>
    <row r="47" spans="1:31" x14ac:dyDescent="0.25">
      <c r="A47" s="174" t="s">
        <v>77</v>
      </c>
      <c r="J47" s="175"/>
      <c r="K47" s="175"/>
    </row>
    <row r="48" spans="1:31" ht="30.6" x14ac:dyDescent="0.3">
      <c r="A48" s="118">
        <v>1</v>
      </c>
      <c r="B48" s="125" t="s">
        <v>82</v>
      </c>
      <c r="C48" s="149" t="s">
        <v>80</v>
      </c>
      <c r="D48" s="120">
        <f>30+30+29+30+30</f>
        <v>149</v>
      </c>
      <c r="E48" s="104">
        <f>18+14+16+17+17</f>
        <v>82</v>
      </c>
      <c r="F48" s="105">
        <v>5</v>
      </c>
      <c r="G48" s="150"/>
      <c r="H48" s="120">
        <f>32+32+31+31+30</f>
        <v>156</v>
      </c>
      <c r="I48" s="105">
        <f>20+23+18+15+14</f>
        <v>90</v>
      </c>
      <c r="J48" s="105">
        <v>5</v>
      </c>
      <c r="K48" s="150"/>
      <c r="L48" s="122">
        <f>30+31+30+32+28</f>
        <v>151</v>
      </c>
      <c r="M48" s="104">
        <f>18+16+16+17+15</f>
        <v>82</v>
      </c>
      <c r="N48" s="105">
        <v>5</v>
      </c>
      <c r="O48" s="151"/>
      <c r="P48" s="120">
        <f>31+28+32+31+29</f>
        <v>151</v>
      </c>
      <c r="Q48" s="104">
        <f>20+12+18+16+11</f>
        <v>77</v>
      </c>
      <c r="R48" s="105">
        <v>5</v>
      </c>
      <c r="S48" s="167"/>
      <c r="T48" s="120">
        <f>28+33+32+32+31</f>
        <v>156</v>
      </c>
      <c r="U48" s="104">
        <f>17+16+17+19+17</f>
        <v>86</v>
      </c>
      <c r="V48" s="105">
        <v>5</v>
      </c>
      <c r="W48" s="150"/>
      <c r="X48" s="120"/>
      <c r="Y48" s="104"/>
      <c r="Z48" s="104"/>
      <c r="AA48" s="120">
        <f>D48+H48+L48+P48+T48+X48</f>
        <v>763</v>
      </c>
      <c r="AB48" s="104">
        <f>E48+I48+M48+Q48+U48+Y48</f>
        <v>417</v>
      </c>
      <c r="AC48" s="128">
        <v>18</v>
      </c>
      <c r="AD48" s="126">
        <v>11</v>
      </c>
      <c r="AE48" s="121">
        <f>F48+J48+N48+R48+V48+Z48</f>
        <v>25</v>
      </c>
    </row>
    <row r="49" spans="1:34" ht="27.6" x14ac:dyDescent="0.3">
      <c r="A49" s="118">
        <v>2</v>
      </c>
      <c r="B49" s="125" t="s">
        <v>82</v>
      </c>
      <c r="C49" s="149" t="s">
        <v>75</v>
      </c>
      <c r="D49" s="120">
        <f>26+24+24+22+26</f>
        <v>122</v>
      </c>
      <c r="E49" s="104">
        <f>13+12+13+11+16</f>
        <v>65</v>
      </c>
      <c r="F49" s="105">
        <v>5</v>
      </c>
      <c r="G49" s="150"/>
      <c r="H49" s="120">
        <f>29+30+29+31</f>
        <v>119</v>
      </c>
      <c r="I49" s="105">
        <f>9+11+10+16</f>
        <v>46</v>
      </c>
      <c r="J49" s="154">
        <v>4</v>
      </c>
      <c r="K49" s="167"/>
      <c r="L49" s="122">
        <f>29+29+31+30+30</f>
        <v>149</v>
      </c>
      <c r="M49" s="104">
        <f>17+11+15+14+12</f>
        <v>69</v>
      </c>
      <c r="N49" s="105">
        <v>5</v>
      </c>
      <c r="O49" s="151"/>
      <c r="P49" s="120">
        <f>30+30+29+30+27</f>
        <v>146</v>
      </c>
      <c r="Q49" s="104">
        <f>14+10+13+12+12</f>
        <v>61</v>
      </c>
      <c r="R49" s="105">
        <v>5</v>
      </c>
      <c r="S49" s="167"/>
      <c r="T49" s="120">
        <f>23+22+24+27+28</f>
        <v>124</v>
      </c>
      <c r="U49" s="104">
        <f>12+13+12+11+18</f>
        <v>66</v>
      </c>
      <c r="V49" s="105">
        <v>5</v>
      </c>
      <c r="W49" s="150"/>
      <c r="X49" s="120"/>
      <c r="Y49" s="104"/>
      <c r="Z49" s="104"/>
      <c r="AA49" s="120">
        <f>D49+H49+L49+P49+T49+X49</f>
        <v>660</v>
      </c>
      <c r="AB49" s="104">
        <f>E49+I49+M49+Q49+U49+Y49</f>
        <v>307</v>
      </c>
      <c r="AC49" s="120">
        <v>16</v>
      </c>
      <c r="AD49" s="105">
        <v>9</v>
      </c>
      <c r="AE49" s="121">
        <f>F49+J49+N49+R49+V49+Z49</f>
        <v>24</v>
      </c>
    </row>
    <row r="50" spans="1:34" ht="33" x14ac:dyDescent="0.3">
      <c r="A50" s="118">
        <v>3</v>
      </c>
      <c r="B50" s="125" t="s">
        <v>82</v>
      </c>
      <c r="C50" s="149" t="s">
        <v>76</v>
      </c>
      <c r="D50" s="120">
        <f>31+27+1+29</f>
        <v>88</v>
      </c>
      <c r="E50" s="104">
        <f>17+15+0+14</f>
        <v>46</v>
      </c>
      <c r="F50" s="105">
        <v>3</v>
      </c>
      <c r="G50" s="150"/>
      <c r="H50" s="120">
        <f>30+29+30</f>
        <v>89</v>
      </c>
      <c r="I50" s="105">
        <f>15+17+16</f>
        <v>48</v>
      </c>
      <c r="J50" s="126">
        <v>3</v>
      </c>
      <c r="K50" s="168"/>
      <c r="L50" s="122">
        <f>29+27+26</f>
        <v>82</v>
      </c>
      <c r="M50" s="104">
        <f>19+15+14</f>
        <v>48</v>
      </c>
      <c r="N50" s="105">
        <v>3</v>
      </c>
      <c r="O50" s="151"/>
      <c r="P50" s="120">
        <f>26+25</f>
        <v>51</v>
      </c>
      <c r="Q50" s="104">
        <f>15+16</f>
        <v>31</v>
      </c>
      <c r="R50" s="105">
        <v>2</v>
      </c>
      <c r="S50" s="151"/>
      <c r="T50" s="120">
        <f>27+27+29</f>
        <v>83</v>
      </c>
      <c r="U50" s="104">
        <f>13+11+12</f>
        <v>36</v>
      </c>
      <c r="V50" s="105">
        <v>3</v>
      </c>
      <c r="W50" s="150"/>
      <c r="X50" s="120"/>
      <c r="Y50" s="104"/>
      <c r="Z50" s="104"/>
      <c r="AA50" s="120">
        <f>D50+H50+L50+P50+T50+X50</f>
        <v>393</v>
      </c>
      <c r="AB50" s="104">
        <f>E50+I50+M50+Q50+U50+Y50</f>
        <v>209</v>
      </c>
      <c r="AC50" s="152">
        <f>2+9+10+5</f>
        <v>26</v>
      </c>
      <c r="AD50" s="154">
        <f>0+8+5+2</f>
        <v>15</v>
      </c>
      <c r="AE50" s="121">
        <f>F50+J50+N50+R50+V50+Z50</f>
        <v>14</v>
      </c>
    </row>
    <row r="51" spans="1:34" ht="18" x14ac:dyDescent="0.3">
      <c r="A51" s="118">
        <v>4</v>
      </c>
      <c r="B51" s="125" t="s">
        <v>82</v>
      </c>
      <c r="C51" s="155" t="s">
        <v>14</v>
      </c>
      <c r="D51" s="120">
        <f>27+30+28+29</f>
        <v>114</v>
      </c>
      <c r="E51" s="104">
        <f>14+17+11+14</f>
        <v>56</v>
      </c>
      <c r="F51" s="105">
        <v>4</v>
      </c>
      <c r="G51" s="150"/>
      <c r="H51" s="120">
        <f>31+29+32+31</f>
        <v>123</v>
      </c>
      <c r="I51" s="105">
        <f>12+11+13+14</f>
        <v>50</v>
      </c>
      <c r="J51" s="126">
        <v>4</v>
      </c>
      <c r="K51" s="168"/>
      <c r="L51" s="122">
        <f>28+30+29+30</f>
        <v>117</v>
      </c>
      <c r="M51" s="104">
        <f>17+9+7+11</f>
        <v>44</v>
      </c>
      <c r="N51" s="105">
        <v>4</v>
      </c>
      <c r="O51" s="151"/>
      <c r="P51" s="120">
        <f>31+33+33+33</f>
        <v>130</v>
      </c>
      <c r="Q51" s="104">
        <f>9+18+16+17</f>
        <v>60</v>
      </c>
      <c r="R51" s="105">
        <v>4</v>
      </c>
      <c r="S51" s="123"/>
      <c r="T51" s="120">
        <f>32+31+31+32</f>
        <v>126</v>
      </c>
      <c r="U51" s="104">
        <f>14+13+18+16</f>
        <v>61</v>
      </c>
      <c r="V51" s="105">
        <v>4</v>
      </c>
      <c r="W51" s="150"/>
      <c r="X51" s="120"/>
      <c r="Y51" s="104"/>
      <c r="Z51" s="104"/>
      <c r="AA51" s="120">
        <f>D51+H51+L51+P51+T51+X51</f>
        <v>610</v>
      </c>
      <c r="AB51" s="104">
        <f>E51+I51+M51+Q51+U51+Y51</f>
        <v>271</v>
      </c>
      <c r="AC51" s="120">
        <v>44</v>
      </c>
      <c r="AD51" s="105">
        <f>3+5+6+7</f>
        <v>21</v>
      </c>
      <c r="AE51" s="121">
        <f>F51+J51+N51+R51+V51+Z51</f>
        <v>20</v>
      </c>
    </row>
    <row r="52" spans="1:34" ht="18" x14ac:dyDescent="0.3">
      <c r="A52" s="118">
        <v>5</v>
      </c>
      <c r="B52" s="125" t="s">
        <v>82</v>
      </c>
      <c r="C52" s="155" t="s">
        <v>15</v>
      </c>
      <c r="D52" s="103">
        <f>28+30+26+23+26+1</f>
        <v>134</v>
      </c>
      <c r="E52" s="104">
        <f>12+16+10+14+15+0</f>
        <v>67</v>
      </c>
      <c r="F52" s="105">
        <v>5</v>
      </c>
      <c r="G52" s="150"/>
      <c r="H52" s="120">
        <f>31+1+32+32+31</f>
        <v>127</v>
      </c>
      <c r="I52" s="105">
        <f>13+0+15+16+17</f>
        <v>61</v>
      </c>
      <c r="J52" s="126">
        <v>4</v>
      </c>
      <c r="K52" s="168"/>
      <c r="L52" s="122">
        <f>24+25+29+25+28</f>
        <v>131</v>
      </c>
      <c r="M52" s="104">
        <f>10+12+18+21+18</f>
        <v>79</v>
      </c>
      <c r="N52" s="105">
        <v>5</v>
      </c>
      <c r="O52" s="151"/>
      <c r="P52" s="120">
        <f>24+30+29+22+23</f>
        <v>128</v>
      </c>
      <c r="Q52" s="104">
        <f>13+21+15+15+15</f>
        <v>79</v>
      </c>
      <c r="R52" s="105">
        <v>5</v>
      </c>
      <c r="S52" s="123"/>
      <c r="T52" s="120">
        <f>28+25+21+28+22</f>
        <v>124</v>
      </c>
      <c r="U52" s="104">
        <f>15+10+11+17+14</f>
        <v>67</v>
      </c>
      <c r="V52" s="105">
        <v>5</v>
      </c>
      <c r="W52" s="150"/>
      <c r="X52" s="120"/>
      <c r="Y52" s="104"/>
      <c r="Z52" s="104"/>
      <c r="AA52" s="120">
        <f>D52+H52+L52+P52+T52+X52</f>
        <v>644</v>
      </c>
      <c r="AB52" s="104">
        <f>E52+I52+M52+Q52+U52+Y52</f>
        <v>353</v>
      </c>
      <c r="AC52" s="152">
        <v>8</v>
      </c>
      <c r="AD52" s="154">
        <v>5</v>
      </c>
      <c r="AE52" s="121">
        <f>F52+J52+N52+R52+V52+Z52</f>
        <v>24</v>
      </c>
    </row>
    <row r="53" spans="1:34" ht="18" x14ac:dyDescent="0.3">
      <c r="A53" s="118">
        <v>6</v>
      </c>
      <c r="B53" s="125" t="s">
        <v>82</v>
      </c>
      <c r="C53" s="119" t="s">
        <v>16</v>
      </c>
      <c r="D53" s="120">
        <f>28+30+27+28</f>
        <v>113</v>
      </c>
      <c r="E53" s="104">
        <f>14+11+12+10</f>
        <v>47</v>
      </c>
      <c r="F53" s="105">
        <v>4</v>
      </c>
      <c r="G53" s="150"/>
      <c r="H53" s="120">
        <f>26+25+26+26</f>
        <v>103</v>
      </c>
      <c r="I53" s="105">
        <f>10+14+9+18</f>
        <v>51</v>
      </c>
      <c r="J53" s="126">
        <v>4</v>
      </c>
      <c r="K53" s="168"/>
      <c r="L53" s="122">
        <f>30+24+23+30</f>
        <v>107</v>
      </c>
      <c r="M53" s="104">
        <f>20+15+13+5</f>
        <v>53</v>
      </c>
      <c r="N53" s="105">
        <v>4</v>
      </c>
      <c r="O53" s="151"/>
      <c r="P53" s="120">
        <f>30+25+27</f>
        <v>82</v>
      </c>
      <c r="Q53" s="104">
        <f>12+14+14</f>
        <v>40</v>
      </c>
      <c r="R53" s="105">
        <v>3</v>
      </c>
      <c r="S53" s="151"/>
      <c r="T53" s="120">
        <f>27+26+24+33</f>
        <v>110</v>
      </c>
      <c r="U53" s="104">
        <f>17+16+15+6</f>
        <v>54</v>
      </c>
      <c r="V53" s="105">
        <v>4</v>
      </c>
      <c r="W53" s="150"/>
      <c r="X53" s="120"/>
      <c r="Y53" s="104"/>
      <c r="Z53" s="104"/>
      <c r="AA53" s="120">
        <f>D53+H53+L53+P53+T53+X53</f>
        <v>515</v>
      </c>
      <c r="AB53" s="104">
        <f>E53+I53+M53+Q53+U53+Y53</f>
        <v>245</v>
      </c>
      <c r="AC53" s="120">
        <f>5+5</f>
        <v>10</v>
      </c>
      <c r="AD53" s="105">
        <f>3+3</f>
        <v>6</v>
      </c>
      <c r="AE53" s="121">
        <f>F53+J53+N53+R53+V53+Z53</f>
        <v>19</v>
      </c>
    </row>
    <row r="54" spans="1:34" ht="30.6" x14ac:dyDescent="0.3">
      <c r="A54" s="118">
        <v>7</v>
      </c>
      <c r="B54" s="125" t="s">
        <v>82</v>
      </c>
      <c r="C54" s="149" t="s">
        <v>17</v>
      </c>
      <c r="D54" s="120">
        <f>33+31</f>
        <v>64</v>
      </c>
      <c r="E54" s="104">
        <f>20+14</f>
        <v>34</v>
      </c>
      <c r="F54" s="105">
        <v>2</v>
      </c>
      <c r="G54" s="150"/>
      <c r="H54" s="120">
        <f>30+28</f>
        <v>58</v>
      </c>
      <c r="I54" s="105">
        <f>18+16</f>
        <v>34</v>
      </c>
      <c r="J54" s="126">
        <v>2</v>
      </c>
      <c r="K54" s="168"/>
      <c r="L54" s="122">
        <f>27+26+30</f>
        <v>83</v>
      </c>
      <c r="M54" s="104">
        <f>9+11+17</f>
        <v>37</v>
      </c>
      <c r="N54" s="105">
        <v>3</v>
      </c>
      <c r="O54" s="151"/>
      <c r="P54" s="120">
        <f>23+29</f>
        <v>52</v>
      </c>
      <c r="Q54" s="104">
        <f>10+9</f>
        <v>19</v>
      </c>
      <c r="R54" s="105">
        <v>2</v>
      </c>
      <c r="S54" s="123"/>
      <c r="T54" s="120">
        <f>25+20+24</f>
        <v>69</v>
      </c>
      <c r="U54" s="104">
        <f>8+13+11</f>
        <v>32</v>
      </c>
      <c r="V54" s="105">
        <v>3</v>
      </c>
      <c r="W54" s="150"/>
      <c r="X54" s="120"/>
      <c r="Y54" s="104"/>
      <c r="Z54" s="104"/>
      <c r="AA54" s="120">
        <f>D54+H54+L54+P54+T54+X54</f>
        <v>326</v>
      </c>
      <c r="AB54" s="104">
        <f>E54+I54+M54+Q54+U54+Y54</f>
        <v>156</v>
      </c>
      <c r="AC54" s="152">
        <f>2+3+2</f>
        <v>7</v>
      </c>
      <c r="AD54" s="154">
        <f>1+3+1</f>
        <v>5</v>
      </c>
      <c r="AE54" s="121">
        <f>F54+J54+N54+R54+V54+Z54</f>
        <v>12</v>
      </c>
    </row>
    <row r="55" spans="1:34" ht="18" x14ac:dyDescent="0.3">
      <c r="A55" s="118">
        <v>8</v>
      </c>
      <c r="B55" s="125" t="s">
        <v>82</v>
      </c>
      <c r="C55" s="155" t="s">
        <v>18</v>
      </c>
      <c r="D55" s="120">
        <f>27+28+25+25</f>
        <v>105</v>
      </c>
      <c r="E55" s="104">
        <f>9+10+12+13</f>
        <v>44</v>
      </c>
      <c r="F55" s="105">
        <v>4</v>
      </c>
      <c r="G55" s="150"/>
      <c r="H55" s="120">
        <f>28+27+29</f>
        <v>84</v>
      </c>
      <c r="I55" s="105">
        <f>9+9+15</f>
        <v>33</v>
      </c>
      <c r="J55" s="126">
        <v>3</v>
      </c>
      <c r="K55" s="168"/>
      <c r="L55" s="122">
        <f>26+26+28+24+26</f>
        <v>130</v>
      </c>
      <c r="M55" s="104">
        <f>11+10+10+16+17</f>
        <v>64</v>
      </c>
      <c r="N55" s="105">
        <v>5</v>
      </c>
      <c r="O55" s="151"/>
      <c r="P55" s="120">
        <f>32+32+26+26</f>
        <v>116</v>
      </c>
      <c r="Q55" s="104">
        <f>14+16+12+13</f>
        <v>55</v>
      </c>
      <c r="R55" s="105">
        <v>4</v>
      </c>
      <c r="S55" s="123"/>
      <c r="T55" s="120">
        <f>29+30+29+26</f>
        <v>114</v>
      </c>
      <c r="U55" s="104">
        <f>16+13+19+15</f>
        <v>63</v>
      </c>
      <c r="V55" s="105">
        <v>4</v>
      </c>
      <c r="W55" s="150"/>
      <c r="X55" s="120"/>
      <c r="Y55" s="104"/>
      <c r="Z55" s="104"/>
      <c r="AA55" s="120">
        <f>D55+H55+L55+P55+T55+X55</f>
        <v>549</v>
      </c>
      <c r="AB55" s="104">
        <f>E55+I55+M55+Q55+U55+Y55</f>
        <v>259</v>
      </c>
      <c r="AC55" s="120">
        <f>1+4+2+9+1</f>
        <v>17</v>
      </c>
      <c r="AD55" s="105">
        <v>5</v>
      </c>
      <c r="AE55" s="121">
        <f>F55+J55+N55+R55+V55+Z55</f>
        <v>20</v>
      </c>
    </row>
    <row r="56" spans="1:34" ht="18" x14ac:dyDescent="0.3">
      <c r="A56" s="118">
        <v>9</v>
      </c>
      <c r="B56" s="125" t="s">
        <v>82</v>
      </c>
      <c r="C56" s="155" t="s">
        <v>19</v>
      </c>
      <c r="D56" s="120">
        <f>21+25+24</f>
        <v>70</v>
      </c>
      <c r="E56" s="104">
        <f>9+10+10</f>
        <v>29</v>
      </c>
      <c r="F56" s="105">
        <v>3</v>
      </c>
      <c r="G56" s="150"/>
      <c r="H56" s="120">
        <f>29+29+29+28</f>
        <v>115</v>
      </c>
      <c r="I56" s="105">
        <f>12+13+12+14</f>
        <v>51</v>
      </c>
      <c r="J56" s="126">
        <v>4</v>
      </c>
      <c r="K56" s="168"/>
      <c r="L56" s="122">
        <f>29+29+27</f>
        <v>85</v>
      </c>
      <c r="M56" s="104">
        <f>9+11+10</f>
        <v>30</v>
      </c>
      <c r="N56" s="105">
        <v>3</v>
      </c>
      <c r="O56" s="151"/>
      <c r="P56" s="120">
        <f>29+27+29+29</f>
        <v>114</v>
      </c>
      <c r="Q56" s="104">
        <f>12+10+11+13</f>
        <v>46</v>
      </c>
      <c r="R56" s="105">
        <v>4</v>
      </c>
      <c r="S56" s="123"/>
      <c r="T56" s="120">
        <f>27+29+27</f>
        <v>83</v>
      </c>
      <c r="U56" s="104">
        <f>12+11+12</f>
        <v>35</v>
      </c>
      <c r="V56" s="105">
        <v>3</v>
      </c>
      <c r="W56" s="150"/>
      <c r="X56" s="120"/>
      <c r="Y56" s="104"/>
      <c r="Z56" s="104"/>
      <c r="AA56" s="120">
        <f>D56+H56+L56+P56+T56+X56</f>
        <v>467</v>
      </c>
      <c r="AB56" s="104">
        <f>E56+I56+M56+Q56+U56+Y56</f>
        <v>191</v>
      </c>
      <c r="AC56" s="152">
        <f>3+4+3+5</f>
        <v>15</v>
      </c>
      <c r="AD56" s="154">
        <f>1+1+1+2</f>
        <v>5</v>
      </c>
      <c r="AE56" s="121">
        <f>F56+J56+N56+R56+V56+Z56</f>
        <v>17</v>
      </c>
    </row>
    <row r="57" spans="1:34" ht="18" x14ac:dyDescent="0.3">
      <c r="A57" s="118">
        <v>10</v>
      </c>
      <c r="B57" s="125" t="s">
        <v>82</v>
      </c>
      <c r="C57" s="155" t="s">
        <v>20</v>
      </c>
      <c r="D57" s="103">
        <f>18+5+26+1+27+24+3</f>
        <v>104</v>
      </c>
      <c r="E57" s="104">
        <f>6+1+13+0+10+14+1</f>
        <v>45</v>
      </c>
      <c r="F57" s="105">
        <v>4</v>
      </c>
      <c r="G57" s="150"/>
      <c r="H57" s="120">
        <f>15+6+26+29+30</f>
        <v>106</v>
      </c>
      <c r="I57" s="105">
        <f>8+1+15+17+15</f>
        <v>56</v>
      </c>
      <c r="J57" s="126">
        <v>4</v>
      </c>
      <c r="K57" s="150"/>
      <c r="L57" s="122">
        <f>15+3+1+27+25+27</f>
        <v>98</v>
      </c>
      <c r="M57" s="104">
        <f>4+2+1+9+7+11</f>
        <v>34</v>
      </c>
      <c r="N57" s="105">
        <v>4</v>
      </c>
      <c r="O57" s="151"/>
      <c r="P57" s="120">
        <f>31+30+32</f>
        <v>93</v>
      </c>
      <c r="Q57" s="104">
        <f>9+9+10</f>
        <v>28</v>
      </c>
      <c r="R57" s="105">
        <v>3</v>
      </c>
      <c r="S57" s="123"/>
      <c r="T57" s="120">
        <f>26+30+30+26</f>
        <v>112</v>
      </c>
      <c r="U57" s="104">
        <f>13+15+15+13</f>
        <v>56</v>
      </c>
      <c r="V57" s="105">
        <v>4</v>
      </c>
      <c r="W57" s="150"/>
      <c r="X57" s="120"/>
      <c r="Y57" s="104"/>
      <c r="Z57" s="104"/>
      <c r="AA57" s="120">
        <f>D57+H57+L57+P57+T57+X57</f>
        <v>513</v>
      </c>
      <c r="AB57" s="104">
        <f>E57+I57+M57+Q57+U57+Y57</f>
        <v>219</v>
      </c>
      <c r="AC57" s="120">
        <v>11</v>
      </c>
      <c r="AD57" s="105">
        <v>4</v>
      </c>
      <c r="AE57" s="121">
        <f>F57+J57+N57+R57+V57+Z57</f>
        <v>19</v>
      </c>
    </row>
    <row r="58" spans="1:34" ht="16.8" thickBot="1" x14ac:dyDescent="0.35">
      <c r="A58" s="118">
        <v>11</v>
      </c>
      <c r="B58" s="127" t="s">
        <v>82</v>
      </c>
      <c r="C58" s="119" t="s">
        <v>21</v>
      </c>
      <c r="D58" s="156">
        <f>31+28+30+30</f>
        <v>119</v>
      </c>
      <c r="E58" s="104">
        <f>12+8+9+11</f>
        <v>40</v>
      </c>
      <c r="F58" s="105">
        <v>4</v>
      </c>
      <c r="G58" s="150"/>
      <c r="H58" s="120">
        <f>28+27+30+27</f>
        <v>112</v>
      </c>
      <c r="I58" s="105">
        <f>9+9+10+12</f>
        <v>40</v>
      </c>
      <c r="J58" s="139">
        <v>4</v>
      </c>
      <c r="K58" s="150"/>
      <c r="L58" s="122">
        <f>30+29+29+31</f>
        <v>119</v>
      </c>
      <c r="M58" s="104">
        <f>7+13+13+12</f>
        <v>45</v>
      </c>
      <c r="N58" s="105">
        <v>4</v>
      </c>
      <c r="O58" s="150"/>
      <c r="P58" s="120">
        <f>29+29+29+28+1</f>
        <v>116</v>
      </c>
      <c r="Q58" s="104">
        <f>12+13+14+11</f>
        <v>50</v>
      </c>
      <c r="R58" s="105">
        <v>4</v>
      </c>
      <c r="S58" s="123"/>
      <c r="T58" s="120">
        <f>29+29+28+30</f>
        <v>116</v>
      </c>
      <c r="U58" s="104">
        <f>8+10+14+16</f>
        <v>48</v>
      </c>
      <c r="V58" s="105">
        <v>4</v>
      </c>
      <c r="W58" s="150"/>
      <c r="X58" s="120"/>
      <c r="Y58" s="104"/>
      <c r="Z58" s="104"/>
      <c r="AA58" s="120">
        <f>D58+H58+L58+P58+T58+X58</f>
        <v>582</v>
      </c>
      <c r="AB58" s="104">
        <f>E58+I58+M58+Q58+U58+Y58</f>
        <v>223</v>
      </c>
      <c r="AC58" s="141">
        <f>2+1+2+1+1+2</f>
        <v>9</v>
      </c>
      <c r="AD58" s="157">
        <f>1+1+1+1</f>
        <v>4</v>
      </c>
      <c r="AE58" s="121">
        <f>F58+J58+N58+R58+V58+Z58</f>
        <v>20</v>
      </c>
    </row>
    <row r="59" spans="1:34" ht="31.8" thickBot="1" x14ac:dyDescent="0.35">
      <c r="A59" s="134"/>
      <c r="B59" s="135" t="s">
        <v>82</v>
      </c>
      <c r="C59" s="158" t="s">
        <v>53</v>
      </c>
      <c r="D59" s="131">
        <f>SUM(D48:D58)</f>
        <v>1182</v>
      </c>
      <c r="E59" s="159">
        <f>SUM(E48:E58)</f>
        <v>555</v>
      </c>
      <c r="F59" s="160">
        <f>SUM(F48:F58)</f>
        <v>43</v>
      </c>
      <c r="G59" s="161"/>
      <c r="H59" s="131">
        <f>SUM(H48:H58)</f>
        <v>1192</v>
      </c>
      <c r="I59" s="160">
        <f>SUM(I48:I58)</f>
        <v>560</v>
      </c>
      <c r="J59" s="160">
        <f>SUM(J48:J58)</f>
        <v>41</v>
      </c>
      <c r="K59" s="165"/>
      <c r="L59" s="352">
        <f>SUM(L48:L58)</f>
        <v>1252</v>
      </c>
      <c r="M59" s="159">
        <f>SUM(M48:M58)</f>
        <v>585</v>
      </c>
      <c r="N59" s="160">
        <f>SUM(N48:N58)</f>
        <v>45</v>
      </c>
      <c r="O59" s="164"/>
      <c r="P59" s="131">
        <f>SUM(P48:P58)</f>
        <v>1179</v>
      </c>
      <c r="Q59" s="159">
        <f>SUM(Q48:Q58)</f>
        <v>546</v>
      </c>
      <c r="R59" s="160">
        <f>SUM(R48:R58)</f>
        <v>41</v>
      </c>
      <c r="S59" s="165"/>
      <c r="T59" s="131">
        <f>SUM(T48:T58)</f>
        <v>1217</v>
      </c>
      <c r="U59" s="159">
        <f>SUM(U48:U58)</f>
        <v>604</v>
      </c>
      <c r="V59" s="160">
        <f>SUM(V48:V58)</f>
        <v>44</v>
      </c>
      <c r="W59" s="161"/>
      <c r="X59" s="131">
        <f t="shared" ref="X59:AE59" si="5">SUM(X48:X58)</f>
        <v>0</v>
      </c>
      <c r="Y59" s="159">
        <f t="shared" si="5"/>
        <v>0</v>
      </c>
      <c r="Z59" s="159">
        <f t="shared" si="5"/>
        <v>0</v>
      </c>
      <c r="AA59" s="131">
        <f t="shared" si="5"/>
        <v>6022</v>
      </c>
      <c r="AB59" s="159">
        <f t="shared" si="5"/>
        <v>2850</v>
      </c>
      <c r="AC59" s="131">
        <f t="shared" si="5"/>
        <v>181</v>
      </c>
      <c r="AD59" s="159">
        <f t="shared" si="5"/>
        <v>90</v>
      </c>
      <c r="AE59" s="166">
        <f t="shared" si="5"/>
        <v>214</v>
      </c>
    </row>
    <row r="60" spans="1:34" ht="18" x14ac:dyDescent="0.3">
      <c r="A60" s="115"/>
      <c r="B60" s="115" t="s">
        <v>82</v>
      </c>
      <c r="C60" s="170" t="s">
        <v>78</v>
      </c>
      <c r="D60" s="136"/>
      <c r="E60" s="171"/>
      <c r="F60" s="137"/>
      <c r="G60" s="138"/>
      <c r="H60" s="138"/>
      <c r="I60" s="172"/>
      <c r="J60" s="137"/>
      <c r="K60" s="138"/>
      <c r="L60" s="138"/>
      <c r="M60" s="138"/>
      <c r="N60" s="137"/>
      <c r="O60" s="138"/>
      <c r="P60" s="138"/>
      <c r="Q60" s="173"/>
      <c r="R60" s="137"/>
      <c r="S60" s="138"/>
      <c r="T60" s="138"/>
      <c r="U60" s="138"/>
      <c r="V60" s="137"/>
      <c r="W60" s="138"/>
      <c r="X60" s="138"/>
      <c r="Y60" s="172"/>
      <c r="Z60" s="137"/>
      <c r="AA60" s="138"/>
      <c r="AB60" s="138"/>
      <c r="AC60" s="137"/>
      <c r="AD60" s="138"/>
      <c r="AE60" s="137"/>
      <c r="AF60" s="138"/>
      <c r="AG60" s="138"/>
      <c r="AH60" s="112"/>
    </row>
    <row r="61" spans="1:34" x14ac:dyDescent="0.25">
      <c r="A61" s="115"/>
      <c r="B61" s="115" t="s">
        <v>82</v>
      </c>
      <c r="C61" s="174" t="s">
        <v>77</v>
      </c>
      <c r="E61" s="113"/>
      <c r="F61" s="112"/>
      <c r="G61" s="112"/>
      <c r="H61" s="136"/>
      <c r="I61" s="145"/>
      <c r="O61" s="112"/>
      <c r="Q61" s="114"/>
      <c r="V61" s="112"/>
      <c r="W61" s="112"/>
      <c r="X61" s="136"/>
      <c r="Y61" s="145"/>
      <c r="AG61" s="112"/>
      <c r="AH61" s="112"/>
    </row>
    <row r="62" spans="1:34" ht="30.6" x14ac:dyDescent="0.3">
      <c r="A62" s="118">
        <v>1</v>
      </c>
      <c r="B62" s="125" t="s">
        <v>83</v>
      </c>
      <c r="C62" s="119" t="s">
        <v>11</v>
      </c>
      <c r="D62" s="120">
        <v>146</v>
      </c>
      <c r="E62" s="104">
        <v>76</v>
      </c>
      <c r="F62" s="105">
        <v>5</v>
      </c>
      <c r="G62" s="150" t="s">
        <v>74</v>
      </c>
      <c r="H62" s="120">
        <v>150</v>
      </c>
      <c r="I62" s="105">
        <v>84</v>
      </c>
      <c r="J62" s="105">
        <v>5</v>
      </c>
      <c r="K62" s="150"/>
      <c r="L62" s="122">
        <v>150</v>
      </c>
      <c r="M62" s="104">
        <v>90</v>
      </c>
      <c r="N62" s="105">
        <v>5</v>
      </c>
      <c r="O62" s="151"/>
      <c r="P62" s="120">
        <v>148</v>
      </c>
      <c r="Q62" s="104">
        <v>78</v>
      </c>
      <c r="R62" s="105">
        <v>5</v>
      </c>
      <c r="S62" s="150" t="s">
        <v>74</v>
      </c>
      <c r="T62" s="120">
        <v>148</v>
      </c>
      <c r="U62" s="104">
        <v>76</v>
      </c>
      <c r="V62" s="105">
        <v>5</v>
      </c>
      <c r="W62" s="150" t="s">
        <v>74</v>
      </c>
      <c r="X62" s="371"/>
      <c r="Y62" s="372"/>
      <c r="Z62" s="373"/>
      <c r="AA62" s="120">
        <f>D62+H62+L62+P62+T62</f>
        <v>742</v>
      </c>
      <c r="AB62" s="104">
        <f>E62+I62+M62+Q62+U62+Y62</f>
        <v>404</v>
      </c>
      <c r="AC62" s="128">
        <v>17</v>
      </c>
      <c r="AD62" s="126">
        <v>11</v>
      </c>
      <c r="AE62" s="121">
        <f>F62+J62+N62+R62+V62+Z62</f>
        <v>25</v>
      </c>
    </row>
    <row r="63" spans="1:34" ht="42.6" x14ac:dyDescent="0.3">
      <c r="A63" s="118">
        <v>2</v>
      </c>
      <c r="B63" s="125" t="s">
        <v>83</v>
      </c>
      <c r="C63" s="119" t="s">
        <v>85</v>
      </c>
      <c r="D63" s="120">
        <v>130</v>
      </c>
      <c r="E63" s="104">
        <v>49</v>
      </c>
      <c r="F63" s="105">
        <v>5</v>
      </c>
      <c r="G63" s="150" t="s">
        <v>74</v>
      </c>
      <c r="H63" s="120">
        <v>124</v>
      </c>
      <c r="I63" s="105">
        <v>67</v>
      </c>
      <c r="J63" s="154">
        <v>5</v>
      </c>
      <c r="K63" s="167"/>
      <c r="L63" s="122">
        <v>115</v>
      </c>
      <c r="M63" s="104">
        <v>40</v>
      </c>
      <c r="N63" s="105">
        <v>4</v>
      </c>
      <c r="O63" s="151"/>
      <c r="P63" s="120">
        <v>142</v>
      </c>
      <c r="Q63" s="104">
        <v>66</v>
      </c>
      <c r="R63" s="105">
        <v>5</v>
      </c>
      <c r="S63" s="167"/>
      <c r="T63" s="120">
        <v>146</v>
      </c>
      <c r="U63" s="104">
        <v>64</v>
      </c>
      <c r="V63" s="105">
        <v>5</v>
      </c>
      <c r="W63" s="150"/>
      <c r="X63" s="374"/>
      <c r="Y63" s="375"/>
      <c r="Z63" s="376"/>
      <c r="AA63" s="120">
        <f>D63+H63+L63+P63+T63+X63</f>
        <v>657</v>
      </c>
      <c r="AB63" s="104">
        <f>E63+I63+M63+Q63+U63+Y63</f>
        <v>286</v>
      </c>
      <c r="AC63" s="120">
        <v>18</v>
      </c>
      <c r="AD63" s="105">
        <v>10</v>
      </c>
      <c r="AE63" s="121">
        <f>F63+J63+N63+R63+V63+Z63</f>
        <v>24</v>
      </c>
    </row>
    <row r="64" spans="1:34" ht="46.2" x14ac:dyDescent="0.3">
      <c r="A64" s="118">
        <v>3</v>
      </c>
      <c r="B64" s="125" t="s">
        <v>83</v>
      </c>
      <c r="C64" s="119" t="s">
        <v>86</v>
      </c>
      <c r="D64" s="120">
        <v>72</v>
      </c>
      <c r="E64" s="104">
        <v>33</v>
      </c>
      <c r="F64" s="105">
        <v>3</v>
      </c>
      <c r="G64" s="150" t="s">
        <v>74</v>
      </c>
      <c r="H64" s="120">
        <v>90</v>
      </c>
      <c r="I64" s="105">
        <v>46</v>
      </c>
      <c r="J64" s="126">
        <v>3</v>
      </c>
      <c r="K64" s="150" t="s">
        <v>74</v>
      </c>
      <c r="L64" s="122">
        <v>81</v>
      </c>
      <c r="M64" s="104">
        <v>45</v>
      </c>
      <c r="N64" s="105">
        <v>3</v>
      </c>
      <c r="O64" s="151"/>
      <c r="P64" s="120">
        <v>78</v>
      </c>
      <c r="Q64" s="104">
        <v>46</v>
      </c>
      <c r="R64" s="105">
        <v>3</v>
      </c>
      <c r="S64" s="151"/>
      <c r="T64" s="120">
        <v>52</v>
      </c>
      <c r="U64" s="104">
        <v>27</v>
      </c>
      <c r="V64" s="105">
        <v>2</v>
      </c>
      <c r="W64" s="150"/>
      <c r="X64" s="374"/>
      <c r="Y64" s="375"/>
      <c r="Z64" s="376"/>
      <c r="AA64" s="120">
        <f>D64+H64+L64+P64+T64+X64</f>
        <v>373</v>
      </c>
      <c r="AB64" s="104">
        <f>E64+I64+M64+Q64+U64+Y64</f>
        <v>197</v>
      </c>
      <c r="AC64" s="152">
        <v>31</v>
      </c>
      <c r="AD64" s="154">
        <v>14</v>
      </c>
      <c r="AE64" s="121">
        <f>F64+J64+N64+R64+V64+Z64</f>
        <v>14</v>
      </c>
    </row>
    <row r="65" spans="1:32" ht="18" x14ac:dyDescent="0.3">
      <c r="A65" s="118">
        <v>4</v>
      </c>
      <c r="B65" s="125" t="s">
        <v>83</v>
      </c>
      <c r="C65" s="124" t="s">
        <v>14</v>
      </c>
      <c r="D65" s="120">
        <v>113</v>
      </c>
      <c r="E65" s="104">
        <v>51</v>
      </c>
      <c r="F65" s="105">
        <v>4</v>
      </c>
      <c r="G65" s="150"/>
      <c r="H65" s="120">
        <v>121</v>
      </c>
      <c r="I65" s="105">
        <v>57</v>
      </c>
      <c r="J65" s="126">
        <v>4</v>
      </c>
      <c r="K65" s="168"/>
      <c r="L65" s="122">
        <v>121</v>
      </c>
      <c r="M65" s="104">
        <v>51</v>
      </c>
      <c r="N65" s="105">
        <v>4</v>
      </c>
      <c r="O65" s="151"/>
      <c r="P65" s="120">
        <v>117</v>
      </c>
      <c r="Q65" s="104">
        <v>43</v>
      </c>
      <c r="R65" s="105">
        <v>4</v>
      </c>
      <c r="S65" s="123"/>
      <c r="T65" s="120">
        <v>129</v>
      </c>
      <c r="U65" s="104">
        <v>60</v>
      </c>
      <c r="V65" s="105">
        <v>4</v>
      </c>
      <c r="W65" s="150" t="s">
        <v>74</v>
      </c>
      <c r="X65" s="374"/>
      <c r="Y65" s="375"/>
      <c r="Z65" s="376"/>
      <c r="AA65" s="120">
        <f>D65+H65+L65+P65+T65+X65</f>
        <v>601</v>
      </c>
      <c r="AB65" s="104">
        <f>E65+I65+M65+Q65+U65+Y65</f>
        <v>262</v>
      </c>
      <c r="AC65" s="120">
        <v>51</v>
      </c>
      <c r="AD65" s="105">
        <v>20</v>
      </c>
      <c r="AE65" s="121">
        <f>F65+J65+N65+R65+V65+Z65</f>
        <v>20</v>
      </c>
    </row>
    <row r="66" spans="1:32" ht="18" x14ac:dyDescent="0.3">
      <c r="A66" s="118">
        <v>5</v>
      </c>
      <c r="B66" s="125" t="s">
        <v>83</v>
      </c>
      <c r="C66" s="124" t="s">
        <v>15</v>
      </c>
      <c r="D66" s="103">
        <v>116</v>
      </c>
      <c r="E66" s="104">
        <v>69</v>
      </c>
      <c r="F66" s="105">
        <v>4</v>
      </c>
      <c r="G66" s="150"/>
      <c r="H66" s="120">
        <v>133</v>
      </c>
      <c r="I66" s="105">
        <v>65</v>
      </c>
      <c r="J66" s="126">
        <v>5</v>
      </c>
      <c r="K66" s="168"/>
      <c r="L66" s="122">
        <v>124</v>
      </c>
      <c r="M66" s="104">
        <v>60</v>
      </c>
      <c r="N66" s="105">
        <v>5</v>
      </c>
      <c r="O66" s="151" t="s">
        <v>74</v>
      </c>
      <c r="P66" s="120">
        <v>123</v>
      </c>
      <c r="Q66" s="104">
        <v>76</v>
      </c>
      <c r="R66" s="105">
        <v>5</v>
      </c>
      <c r="S66" s="123"/>
      <c r="T66" s="120">
        <v>129</v>
      </c>
      <c r="U66" s="104">
        <v>79</v>
      </c>
      <c r="V66" s="105">
        <v>5</v>
      </c>
      <c r="W66" s="150"/>
      <c r="X66" s="374"/>
      <c r="Y66" s="375"/>
      <c r="Z66" s="376"/>
      <c r="AA66" s="120">
        <f>D66+H66+L66+P66+T66+X66</f>
        <v>625</v>
      </c>
      <c r="AB66" s="104">
        <f>E66+I66+M66+Q66+U66+Y66</f>
        <v>349</v>
      </c>
      <c r="AC66" s="152">
        <v>3</v>
      </c>
      <c r="AD66" s="154">
        <v>3</v>
      </c>
      <c r="AE66" s="121">
        <f>F66+J66+N66+R66+V66+Z66</f>
        <v>24</v>
      </c>
    </row>
    <row r="67" spans="1:32" ht="18" x14ac:dyDescent="0.3">
      <c r="A67" s="118">
        <v>6</v>
      </c>
      <c r="B67" s="125" t="s">
        <v>83</v>
      </c>
      <c r="C67" s="119" t="s">
        <v>16</v>
      </c>
      <c r="D67" s="120">
        <v>92</v>
      </c>
      <c r="E67" s="104">
        <v>51</v>
      </c>
      <c r="F67" s="105">
        <v>3</v>
      </c>
      <c r="G67" s="150"/>
      <c r="H67" s="120">
        <v>112</v>
      </c>
      <c r="I67" s="105">
        <v>44</v>
      </c>
      <c r="J67" s="126">
        <v>4</v>
      </c>
      <c r="K67" s="168"/>
      <c r="L67" s="122">
        <v>96</v>
      </c>
      <c r="M67" s="104">
        <v>50</v>
      </c>
      <c r="N67" s="105">
        <v>4</v>
      </c>
      <c r="O67" s="151"/>
      <c r="P67" s="120">
        <v>107</v>
      </c>
      <c r="Q67" s="104">
        <v>52</v>
      </c>
      <c r="R67" s="105">
        <v>4</v>
      </c>
      <c r="S67" s="151"/>
      <c r="T67" s="120">
        <v>81</v>
      </c>
      <c r="U67" s="104">
        <v>41</v>
      </c>
      <c r="V67" s="105">
        <v>3</v>
      </c>
      <c r="W67" s="150"/>
      <c r="X67" s="374"/>
      <c r="Y67" s="375"/>
      <c r="Z67" s="376"/>
      <c r="AA67" s="120">
        <f>D67+H67+L67+P67+T67+X67</f>
        <v>488</v>
      </c>
      <c r="AB67" s="104">
        <f>E67+I67+M67+Q67+U67+Y67</f>
        <v>238</v>
      </c>
      <c r="AC67" s="120">
        <v>14</v>
      </c>
      <c r="AD67" s="105">
        <v>10</v>
      </c>
      <c r="AE67" s="121">
        <f>F67+J67+N67+R67+V67+Z67</f>
        <v>18</v>
      </c>
    </row>
    <row r="68" spans="1:32" ht="30.6" x14ac:dyDescent="0.3">
      <c r="A68" s="118">
        <v>7</v>
      </c>
      <c r="B68" s="125" t="s">
        <v>83</v>
      </c>
      <c r="C68" s="119" t="s">
        <v>17</v>
      </c>
      <c r="D68" s="120">
        <v>62</v>
      </c>
      <c r="E68" s="104">
        <v>18</v>
      </c>
      <c r="F68" s="105">
        <v>2</v>
      </c>
      <c r="G68" s="150" t="s">
        <v>74</v>
      </c>
      <c r="H68" s="120">
        <v>64</v>
      </c>
      <c r="I68" s="105">
        <v>33</v>
      </c>
      <c r="J68" s="126">
        <v>2</v>
      </c>
      <c r="K68" s="168"/>
      <c r="L68" s="122">
        <v>62</v>
      </c>
      <c r="M68" s="104">
        <v>36</v>
      </c>
      <c r="N68" s="105">
        <v>2</v>
      </c>
      <c r="O68" s="151"/>
      <c r="P68" s="120">
        <v>77</v>
      </c>
      <c r="Q68" s="104">
        <v>34</v>
      </c>
      <c r="R68" s="105">
        <v>3</v>
      </c>
      <c r="S68" s="150" t="s">
        <v>74</v>
      </c>
      <c r="T68" s="120">
        <v>52</v>
      </c>
      <c r="U68" s="104">
        <v>18</v>
      </c>
      <c r="V68" s="105">
        <v>2</v>
      </c>
      <c r="W68" s="150"/>
      <c r="X68" s="374"/>
      <c r="Y68" s="375"/>
      <c r="Z68" s="376"/>
      <c r="AA68" s="120">
        <f>D68+H68+L68+P68+T68+X68</f>
        <v>317</v>
      </c>
      <c r="AB68" s="104">
        <f>E68+I68+M68+Q68+U68+Y68</f>
        <v>139</v>
      </c>
      <c r="AC68" s="152">
        <v>8</v>
      </c>
      <c r="AD68" s="154">
        <v>5</v>
      </c>
      <c r="AE68" s="121">
        <f>F68+J68+N68+R68+V68+Z68</f>
        <v>11</v>
      </c>
    </row>
    <row r="69" spans="1:32" ht="18" x14ac:dyDescent="0.3">
      <c r="A69" s="118">
        <v>8</v>
      </c>
      <c r="B69" s="125" t="s">
        <v>83</v>
      </c>
      <c r="C69" s="124" t="s">
        <v>18</v>
      </c>
      <c r="D69" s="120">
        <v>103</v>
      </c>
      <c r="E69" s="104">
        <v>61</v>
      </c>
      <c r="F69" s="105">
        <v>4</v>
      </c>
      <c r="G69" s="150"/>
      <c r="H69" s="120">
        <v>101</v>
      </c>
      <c r="I69" s="105">
        <v>42</v>
      </c>
      <c r="J69" s="126">
        <v>4</v>
      </c>
      <c r="K69" s="168"/>
      <c r="L69" s="122">
        <v>83</v>
      </c>
      <c r="M69" s="104">
        <v>33</v>
      </c>
      <c r="N69" s="105">
        <v>3</v>
      </c>
      <c r="O69" s="151"/>
      <c r="P69" s="120">
        <v>130</v>
      </c>
      <c r="Q69" s="104">
        <v>64</v>
      </c>
      <c r="R69" s="105">
        <v>5</v>
      </c>
      <c r="S69" s="123"/>
      <c r="T69" s="120">
        <v>115</v>
      </c>
      <c r="U69" s="104">
        <v>55</v>
      </c>
      <c r="V69" s="105">
        <v>4</v>
      </c>
      <c r="W69" s="150"/>
      <c r="X69" s="374"/>
      <c r="Y69" s="375"/>
      <c r="Z69" s="376"/>
      <c r="AA69" s="120">
        <f>D69+H69+L69+P69+T69+X69</f>
        <v>532</v>
      </c>
      <c r="AB69" s="104">
        <f>E69+I69+M69+Q69+U69+Y69</f>
        <v>255</v>
      </c>
      <c r="AC69" s="120">
        <v>19</v>
      </c>
      <c r="AD69" s="105">
        <v>8</v>
      </c>
      <c r="AE69" s="121">
        <f>F69+J69+N69+R69+V69+Z69</f>
        <v>20</v>
      </c>
    </row>
    <row r="70" spans="1:32" ht="28.8" x14ac:dyDescent="0.3">
      <c r="A70" s="118">
        <v>9</v>
      </c>
      <c r="B70" s="125" t="s">
        <v>83</v>
      </c>
      <c r="C70" s="119" t="s">
        <v>84</v>
      </c>
      <c r="D70" s="120">
        <v>88</v>
      </c>
      <c r="E70" s="104">
        <v>41</v>
      </c>
      <c r="F70" s="105">
        <v>3</v>
      </c>
      <c r="G70" s="150"/>
      <c r="H70" s="120">
        <v>72</v>
      </c>
      <c r="I70" s="105">
        <v>28</v>
      </c>
      <c r="J70" s="126">
        <v>3</v>
      </c>
      <c r="K70" s="150" t="s">
        <v>74</v>
      </c>
      <c r="L70" s="122">
        <v>107</v>
      </c>
      <c r="M70" s="104">
        <v>49</v>
      </c>
      <c r="N70" s="105">
        <v>4</v>
      </c>
      <c r="O70" s="150" t="s">
        <v>74</v>
      </c>
      <c r="P70" s="120">
        <v>85</v>
      </c>
      <c r="Q70" s="104">
        <v>32</v>
      </c>
      <c r="R70" s="105">
        <v>3</v>
      </c>
      <c r="S70" s="123"/>
      <c r="T70" s="120">
        <v>112</v>
      </c>
      <c r="U70" s="104">
        <v>46</v>
      </c>
      <c r="V70" s="105">
        <v>4</v>
      </c>
      <c r="W70" s="150"/>
      <c r="X70" s="374"/>
      <c r="Y70" s="375"/>
      <c r="Z70" s="376"/>
      <c r="AA70" s="120">
        <f>D70+H70+L70+P70+T70+X70</f>
        <v>464</v>
      </c>
      <c r="AB70" s="104">
        <f>E70+I70+M70+Q70+U70+Y70</f>
        <v>196</v>
      </c>
      <c r="AC70" s="152">
        <v>11</v>
      </c>
      <c r="AD70" s="154">
        <v>2</v>
      </c>
      <c r="AE70" s="121">
        <f>F70+J70+N70+R70+V70+Z70</f>
        <v>17</v>
      </c>
    </row>
    <row r="71" spans="1:32" ht="16.2" x14ac:dyDescent="0.3">
      <c r="A71" s="118">
        <v>10</v>
      </c>
      <c r="B71" s="125" t="s">
        <v>83</v>
      </c>
      <c r="C71" s="155" t="s">
        <v>20</v>
      </c>
      <c r="D71" s="103">
        <v>88</v>
      </c>
      <c r="E71" s="104">
        <v>56</v>
      </c>
      <c r="F71" s="105">
        <v>3</v>
      </c>
      <c r="G71" s="150" t="s">
        <v>74</v>
      </c>
      <c r="H71" s="120">
        <v>107</v>
      </c>
      <c r="I71" s="105">
        <v>45</v>
      </c>
      <c r="J71" s="126">
        <v>4</v>
      </c>
      <c r="K71" s="150" t="s">
        <v>74</v>
      </c>
      <c r="L71" s="122">
        <v>103</v>
      </c>
      <c r="M71" s="104">
        <v>55</v>
      </c>
      <c r="N71" s="105">
        <v>4</v>
      </c>
      <c r="O71" s="150" t="s">
        <v>74</v>
      </c>
      <c r="P71" s="120">
        <v>96</v>
      </c>
      <c r="Q71" s="104">
        <v>34</v>
      </c>
      <c r="R71" s="105">
        <v>4</v>
      </c>
      <c r="S71" s="150" t="s">
        <v>74</v>
      </c>
      <c r="T71" s="120">
        <v>92</v>
      </c>
      <c r="U71" s="104">
        <v>27</v>
      </c>
      <c r="V71" s="105">
        <v>3</v>
      </c>
      <c r="W71" s="150"/>
      <c r="X71" s="374"/>
      <c r="Y71" s="375"/>
      <c r="Z71" s="376"/>
      <c r="AA71" s="120">
        <f>D71+H71+L71+P71+T71+X71</f>
        <v>486</v>
      </c>
      <c r="AB71" s="104">
        <f>E71+I71+M71+Q71+U71+Y71</f>
        <v>217</v>
      </c>
      <c r="AC71" s="120">
        <v>9</v>
      </c>
      <c r="AD71" s="105">
        <v>2</v>
      </c>
      <c r="AE71" s="121">
        <f>F71+J71+N71+R71+V71+Z71</f>
        <v>18</v>
      </c>
    </row>
    <row r="72" spans="1:32" ht="16.8" thickBot="1" x14ac:dyDescent="0.35">
      <c r="A72" s="118">
        <v>11</v>
      </c>
      <c r="B72" s="127" t="s">
        <v>83</v>
      </c>
      <c r="C72" s="119" t="s">
        <v>21</v>
      </c>
      <c r="D72" s="156">
        <v>119</v>
      </c>
      <c r="E72" s="104">
        <v>54</v>
      </c>
      <c r="F72" s="105">
        <v>4</v>
      </c>
      <c r="G72" s="150"/>
      <c r="H72" s="120">
        <v>120</v>
      </c>
      <c r="I72" s="105">
        <v>42</v>
      </c>
      <c r="J72" s="139">
        <v>4</v>
      </c>
      <c r="K72" s="150"/>
      <c r="L72" s="122">
        <v>108</v>
      </c>
      <c r="M72" s="104">
        <v>39</v>
      </c>
      <c r="N72" s="105">
        <v>4</v>
      </c>
      <c r="O72" s="150"/>
      <c r="P72" s="120">
        <v>121</v>
      </c>
      <c r="Q72" s="104">
        <v>47</v>
      </c>
      <c r="R72" s="105">
        <v>4</v>
      </c>
      <c r="S72" s="123"/>
      <c r="T72" s="120">
        <v>113</v>
      </c>
      <c r="U72" s="104">
        <v>49</v>
      </c>
      <c r="V72" s="105">
        <v>4</v>
      </c>
      <c r="W72" s="150"/>
      <c r="X72" s="374"/>
      <c r="Y72" s="375"/>
      <c r="Z72" s="376"/>
      <c r="AA72" s="120">
        <f>D72+H72+L72+P72+T72+X72</f>
        <v>581</v>
      </c>
      <c r="AB72" s="104">
        <f>E72+I72+M72+Q72+U72+Y72</f>
        <v>231</v>
      </c>
      <c r="AC72" s="141">
        <v>12</v>
      </c>
      <c r="AD72" s="157">
        <v>5</v>
      </c>
      <c r="AE72" s="121">
        <f>F72+J72+N72+R72+V72+Z72</f>
        <v>20</v>
      </c>
    </row>
    <row r="73" spans="1:32" s="177" customFormat="1" ht="31.8" thickBot="1" x14ac:dyDescent="0.35">
      <c r="A73" s="129"/>
      <c r="B73" s="130" t="s">
        <v>83</v>
      </c>
      <c r="C73" s="158" t="s">
        <v>53</v>
      </c>
      <c r="D73" s="131">
        <f>SUM(D62:D72)</f>
        <v>1129</v>
      </c>
      <c r="E73" s="131">
        <f>SUM(E62:E72)</f>
        <v>559</v>
      </c>
      <c r="F73" s="363">
        <f>SUM(F62:F72)</f>
        <v>40</v>
      </c>
      <c r="G73" s="364"/>
      <c r="H73" s="131">
        <f>SUM(H62:H72)</f>
        <v>1194</v>
      </c>
      <c r="I73" s="351">
        <f>SUM(I62:I72)</f>
        <v>553</v>
      </c>
      <c r="J73" s="363">
        <f>SUM(J62:J72)</f>
        <v>43</v>
      </c>
      <c r="K73" s="364"/>
      <c r="L73" s="352">
        <f>SUM(L62:L72)</f>
        <v>1150</v>
      </c>
      <c r="M73" s="131">
        <f>SUM(M62:M72)</f>
        <v>548</v>
      </c>
      <c r="N73" s="363">
        <f>SUM(N62:N72)</f>
        <v>42</v>
      </c>
      <c r="O73" s="364"/>
      <c r="P73" s="131">
        <f>SUM(P62:P72)</f>
        <v>1224</v>
      </c>
      <c r="Q73" s="131">
        <f>SUM(Q62:Q72)</f>
        <v>572</v>
      </c>
      <c r="R73" s="363">
        <f>SUM(R62:R72)</f>
        <v>45</v>
      </c>
      <c r="S73" s="364"/>
      <c r="T73" s="131">
        <f>SUM(T62:T72)</f>
        <v>1169</v>
      </c>
      <c r="U73" s="131">
        <f>SUM(U62:U72)</f>
        <v>542</v>
      </c>
      <c r="V73" s="363">
        <f>SUM(V62:V72)</f>
        <v>41</v>
      </c>
      <c r="W73" s="364"/>
      <c r="X73" s="377"/>
      <c r="Y73" s="378"/>
      <c r="Z73" s="379"/>
      <c r="AA73" s="131">
        <f>SUM(AA62:AA72)</f>
        <v>5866</v>
      </c>
      <c r="AB73" s="131">
        <f t="shared" ref="AB73:AE73" si="6">SUM(AB62:AB72)</f>
        <v>2774</v>
      </c>
      <c r="AC73" s="131">
        <f t="shared" si="6"/>
        <v>193</v>
      </c>
      <c r="AD73" s="131">
        <f t="shared" si="6"/>
        <v>90</v>
      </c>
      <c r="AE73" s="132">
        <f t="shared" si="6"/>
        <v>211</v>
      </c>
      <c r="AF73" s="176"/>
    </row>
    <row r="74" spans="1:32" ht="18" x14ac:dyDescent="0.3">
      <c r="A74" s="170" t="s">
        <v>88</v>
      </c>
      <c r="B74" s="136"/>
      <c r="C74" s="171"/>
      <c r="D74" s="137"/>
      <c r="E74" s="138"/>
      <c r="F74" s="138"/>
      <c r="G74" s="172"/>
      <c r="H74" s="137"/>
      <c r="I74" s="138"/>
      <c r="J74" s="138"/>
      <c r="K74" s="138"/>
      <c r="L74" s="137"/>
      <c r="M74" s="138"/>
      <c r="N74" s="138"/>
      <c r="O74" s="173"/>
      <c r="P74" s="137"/>
      <c r="Q74" s="138"/>
      <c r="R74" s="138"/>
      <c r="S74" s="138"/>
      <c r="T74" s="137"/>
      <c r="U74" s="138"/>
      <c r="V74" s="138"/>
      <c r="W74" s="172"/>
      <c r="X74" s="137"/>
      <c r="Y74" s="138"/>
      <c r="Z74" s="138"/>
      <c r="AA74" s="137"/>
      <c r="AB74" s="138"/>
      <c r="AC74" s="137"/>
      <c r="AD74" s="138"/>
      <c r="AE74" s="138"/>
    </row>
    <row r="75" spans="1:32" x14ac:dyDescent="0.25">
      <c r="A75" s="174" t="s">
        <v>77</v>
      </c>
      <c r="AA75" s="178"/>
    </row>
    <row r="76" spans="1:32" ht="30.6" x14ac:dyDescent="0.3">
      <c r="A76" s="118">
        <v>1</v>
      </c>
      <c r="B76" s="125" t="s">
        <v>99</v>
      </c>
      <c r="C76" s="119" t="s">
        <v>11</v>
      </c>
      <c r="D76" s="120">
        <v>144</v>
      </c>
      <c r="E76" s="104">
        <v>66</v>
      </c>
      <c r="F76" s="105">
        <v>5</v>
      </c>
      <c r="G76" s="150"/>
      <c r="H76" s="120">
        <v>148</v>
      </c>
      <c r="I76" s="105">
        <v>75</v>
      </c>
      <c r="J76" s="105">
        <v>5</v>
      </c>
      <c r="K76" s="150"/>
      <c r="L76" s="122">
        <v>146</v>
      </c>
      <c r="M76" s="104">
        <v>84</v>
      </c>
      <c r="N76" s="105">
        <v>5</v>
      </c>
      <c r="O76" s="151"/>
      <c r="P76" s="120">
        <v>148</v>
      </c>
      <c r="Q76" s="104">
        <v>88</v>
      </c>
      <c r="R76" s="105">
        <v>5</v>
      </c>
      <c r="S76" s="150"/>
      <c r="T76" s="120">
        <v>143</v>
      </c>
      <c r="U76" s="104">
        <v>75</v>
      </c>
      <c r="V76" s="105">
        <v>5</v>
      </c>
      <c r="W76" s="150"/>
      <c r="X76" s="371"/>
      <c r="Y76" s="372"/>
      <c r="Z76" s="373"/>
      <c r="AA76" s="120">
        <f>D76+H76+L76+P76+T76</f>
        <v>729</v>
      </c>
      <c r="AB76" s="104">
        <f>E76+I76+M76+Q76+U76+Y76</f>
        <v>388</v>
      </c>
      <c r="AC76" s="128">
        <v>17</v>
      </c>
      <c r="AD76" s="126">
        <v>10</v>
      </c>
      <c r="AE76" s="121">
        <f>F76+J76+N76+R76+V76+Z76</f>
        <v>25</v>
      </c>
    </row>
    <row r="77" spans="1:32" ht="42.6" x14ac:dyDescent="0.3">
      <c r="A77" s="118">
        <v>2</v>
      </c>
      <c r="B77" s="125" t="s">
        <v>99</v>
      </c>
      <c r="C77" s="119" t="s">
        <v>85</v>
      </c>
      <c r="D77" s="120">
        <v>122</v>
      </c>
      <c r="E77" s="104">
        <v>47</v>
      </c>
      <c r="F77" s="105">
        <v>5</v>
      </c>
      <c r="G77" s="150"/>
      <c r="H77" s="120">
        <v>132</v>
      </c>
      <c r="I77" s="105">
        <v>49</v>
      </c>
      <c r="J77" s="154">
        <v>5</v>
      </c>
      <c r="K77" s="167"/>
      <c r="L77" s="122">
        <v>121</v>
      </c>
      <c r="M77" s="104">
        <v>63</v>
      </c>
      <c r="N77" s="105">
        <v>5</v>
      </c>
      <c r="O77" s="151"/>
      <c r="P77" s="120">
        <v>116</v>
      </c>
      <c r="Q77" s="104">
        <v>37</v>
      </c>
      <c r="R77" s="105">
        <v>4</v>
      </c>
      <c r="S77" s="167"/>
      <c r="T77" s="120">
        <v>135</v>
      </c>
      <c r="U77" s="104">
        <v>67</v>
      </c>
      <c r="V77" s="105">
        <v>5</v>
      </c>
      <c r="W77" s="150"/>
      <c r="X77" s="374"/>
      <c r="Y77" s="375"/>
      <c r="Z77" s="376"/>
      <c r="AA77" s="120">
        <f>D77+H77+L77+P77+T77+X77</f>
        <v>626</v>
      </c>
      <c r="AB77" s="104">
        <f>E77+I77+M77+Q77+U77+Y77</f>
        <v>263</v>
      </c>
      <c r="AC77" s="120">
        <v>22</v>
      </c>
      <c r="AD77" s="105">
        <v>10</v>
      </c>
      <c r="AE77" s="121">
        <f>F77+J77+N77+R77+V77+Z77</f>
        <v>24</v>
      </c>
    </row>
    <row r="78" spans="1:32" ht="46.2" x14ac:dyDescent="0.3">
      <c r="A78" s="118">
        <v>3</v>
      </c>
      <c r="B78" s="125" t="s">
        <v>99</v>
      </c>
      <c r="C78" s="119" t="s">
        <v>110</v>
      </c>
      <c r="D78" s="120">
        <v>77</v>
      </c>
      <c r="E78" s="104">
        <v>27</v>
      </c>
      <c r="F78" s="105">
        <v>3</v>
      </c>
      <c r="G78" s="150"/>
      <c r="H78" s="120">
        <v>68</v>
      </c>
      <c r="I78" s="105">
        <v>32</v>
      </c>
      <c r="J78" s="126">
        <v>3</v>
      </c>
      <c r="K78" s="150"/>
      <c r="L78" s="122">
        <v>83</v>
      </c>
      <c r="M78" s="104">
        <v>42</v>
      </c>
      <c r="N78" s="105">
        <v>3</v>
      </c>
      <c r="O78" s="151"/>
      <c r="P78" s="120">
        <v>82</v>
      </c>
      <c r="Q78" s="104">
        <v>45</v>
      </c>
      <c r="R78" s="105">
        <v>3</v>
      </c>
      <c r="S78" s="151"/>
      <c r="T78" s="120">
        <v>76</v>
      </c>
      <c r="U78" s="104">
        <v>47</v>
      </c>
      <c r="V78" s="105">
        <v>3</v>
      </c>
      <c r="W78" s="150"/>
      <c r="X78" s="374"/>
      <c r="Y78" s="375"/>
      <c r="Z78" s="376"/>
      <c r="AA78" s="120">
        <f>D78+H78+L78+P78+T78+X78</f>
        <v>386</v>
      </c>
      <c r="AB78" s="104">
        <f>E78+I78+M78+Q78+U78+Y78</f>
        <v>193</v>
      </c>
      <c r="AC78" s="152">
        <v>33</v>
      </c>
      <c r="AD78" s="154">
        <v>17</v>
      </c>
      <c r="AE78" s="121">
        <f>F78+J78+N78+R78+V78+Z78</f>
        <v>15</v>
      </c>
    </row>
    <row r="79" spans="1:32" ht="18" x14ac:dyDescent="0.3">
      <c r="A79" s="118">
        <v>4</v>
      </c>
      <c r="B79" s="125" t="s">
        <v>99</v>
      </c>
      <c r="C79" s="124" t="s">
        <v>14</v>
      </c>
      <c r="D79" s="120">
        <v>101</v>
      </c>
      <c r="E79" s="104">
        <v>42</v>
      </c>
      <c r="F79" s="105">
        <v>4</v>
      </c>
      <c r="G79" s="150"/>
      <c r="H79" s="120">
        <v>122</v>
      </c>
      <c r="I79" s="105">
        <v>54</v>
      </c>
      <c r="J79" s="126">
        <v>4</v>
      </c>
      <c r="K79" s="168"/>
      <c r="L79" s="122">
        <v>114</v>
      </c>
      <c r="M79" s="104">
        <v>58</v>
      </c>
      <c r="N79" s="105">
        <v>4</v>
      </c>
      <c r="O79" s="151"/>
      <c r="P79" s="120">
        <v>119</v>
      </c>
      <c r="Q79" s="104">
        <v>46</v>
      </c>
      <c r="R79" s="105">
        <v>4</v>
      </c>
      <c r="S79" s="123"/>
      <c r="T79" s="120">
        <v>113</v>
      </c>
      <c r="U79" s="104">
        <v>44</v>
      </c>
      <c r="V79" s="105">
        <v>4</v>
      </c>
      <c r="W79" s="150"/>
      <c r="X79" s="374"/>
      <c r="Y79" s="375"/>
      <c r="Z79" s="376"/>
      <c r="AA79" s="120">
        <f>D79+H79+L79+P79+T79+X79</f>
        <v>569</v>
      </c>
      <c r="AB79" s="104">
        <f>E79+I79+M79+Q79+U79+Y79</f>
        <v>244</v>
      </c>
      <c r="AC79" s="120">
        <v>58</v>
      </c>
      <c r="AD79" s="105">
        <v>20</v>
      </c>
      <c r="AE79" s="121">
        <f>F79+J79+N79+R79+V79+Z79</f>
        <v>20</v>
      </c>
    </row>
    <row r="80" spans="1:32" ht="18" x14ac:dyDescent="0.3">
      <c r="A80" s="118">
        <v>5</v>
      </c>
      <c r="B80" s="125" t="s">
        <v>99</v>
      </c>
      <c r="C80" s="124" t="s">
        <v>15</v>
      </c>
      <c r="D80" s="103">
        <v>116</v>
      </c>
      <c r="E80" s="104">
        <v>62</v>
      </c>
      <c r="F80" s="105">
        <v>4</v>
      </c>
      <c r="G80" s="150"/>
      <c r="H80" s="120">
        <v>118</v>
      </c>
      <c r="I80" s="105">
        <v>71</v>
      </c>
      <c r="J80" s="126">
        <v>4</v>
      </c>
      <c r="K80" s="168"/>
      <c r="L80" s="122">
        <v>137</v>
      </c>
      <c r="M80" s="104">
        <v>65</v>
      </c>
      <c r="N80" s="105">
        <v>5</v>
      </c>
      <c r="O80" s="151"/>
      <c r="P80" s="120">
        <v>123</v>
      </c>
      <c r="Q80" s="104">
        <v>60</v>
      </c>
      <c r="R80" s="105">
        <v>5</v>
      </c>
      <c r="S80" s="123"/>
      <c r="T80" s="120">
        <v>125</v>
      </c>
      <c r="U80" s="104">
        <v>78</v>
      </c>
      <c r="V80" s="105">
        <v>5</v>
      </c>
      <c r="W80" s="150"/>
      <c r="X80" s="374"/>
      <c r="Y80" s="375"/>
      <c r="Z80" s="376"/>
      <c r="AA80" s="120">
        <f>D80+H80+L80+P80+T80+X80</f>
        <v>619</v>
      </c>
      <c r="AB80" s="104">
        <f>E80+I80+M80+Q80+U80+Y80</f>
        <v>336</v>
      </c>
      <c r="AC80" s="152">
        <v>17</v>
      </c>
      <c r="AD80" s="154">
        <v>10</v>
      </c>
      <c r="AE80" s="121">
        <f>F80+J80+N80+R80+V80+Z80</f>
        <v>23</v>
      </c>
    </row>
    <row r="81" spans="1:32" ht="18" x14ac:dyDescent="0.3">
      <c r="A81" s="118">
        <v>6</v>
      </c>
      <c r="B81" s="125" t="s">
        <v>99</v>
      </c>
      <c r="C81" s="119" t="s">
        <v>16</v>
      </c>
      <c r="D81" s="120">
        <v>65</v>
      </c>
      <c r="E81" s="104">
        <v>28</v>
      </c>
      <c r="F81" s="105">
        <v>2</v>
      </c>
      <c r="G81" s="150"/>
      <c r="H81" s="120">
        <v>90</v>
      </c>
      <c r="I81" s="105">
        <v>50</v>
      </c>
      <c r="J81" s="126">
        <v>3</v>
      </c>
      <c r="K81" s="168"/>
      <c r="L81" s="122">
        <v>100</v>
      </c>
      <c r="M81" s="104">
        <v>42</v>
      </c>
      <c r="N81" s="105">
        <v>4</v>
      </c>
      <c r="O81" s="151"/>
      <c r="P81" s="120">
        <v>96</v>
      </c>
      <c r="Q81" s="104">
        <v>49</v>
      </c>
      <c r="R81" s="105">
        <v>4</v>
      </c>
      <c r="S81" s="151"/>
      <c r="T81" s="120">
        <v>105</v>
      </c>
      <c r="U81" s="104">
        <v>50</v>
      </c>
      <c r="V81" s="105">
        <v>4</v>
      </c>
      <c r="W81" s="150"/>
      <c r="X81" s="374"/>
      <c r="Y81" s="375"/>
      <c r="Z81" s="376"/>
      <c r="AA81" s="120">
        <f>D81+H81+L81+P81+T81+X81</f>
        <v>456</v>
      </c>
      <c r="AB81" s="104">
        <f>E81+I81+M81+Q81+U81+Y81</f>
        <v>219</v>
      </c>
      <c r="AC81" s="120">
        <v>8</v>
      </c>
      <c r="AD81" s="105">
        <v>6</v>
      </c>
      <c r="AE81" s="121">
        <f>F81+J81+N81+R81+V81+Z81</f>
        <v>17</v>
      </c>
    </row>
    <row r="82" spans="1:32" ht="30.6" x14ac:dyDescent="0.3">
      <c r="A82" s="118">
        <v>7</v>
      </c>
      <c r="B82" s="125" t="s">
        <v>99</v>
      </c>
      <c r="C82" s="119" t="s">
        <v>17</v>
      </c>
      <c r="D82" s="120">
        <v>79</v>
      </c>
      <c r="E82" s="104">
        <v>31</v>
      </c>
      <c r="F82" s="105">
        <v>3</v>
      </c>
      <c r="G82" s="150"/>
      <c r="H82" s="120">
        <v>64</v>
      </c>
      <c r="I82" s="105">
        <v>20</v>
      </c>
      <c r="J82" s="126">
        <v>2</v>
      </c>
      <c r="K82" s="168"/>
      <c r="L82" s="122">
        <v>60</v>
      </c>
      <c r="M82" s="104">
        <v>34</v>
      </c>
      <c r="N82" s="105">
        <v>2</v>
      </c>
      <c r="O82" s="151"/>
      <c r="P82" s="120">
        <v>57</v>
      </c>
      <c r="Q82" s="104">
        <v>34</v>
      </c>
      <c r="R82" s="105">
        <v>2</v>
      </c>
      <c r="S82" s="150"/>
      <c r="T82" s="120">
        <v>80</v>
      </c>
      <c r="U82" s="104">
        <v>35</v>
      </c>
      <c r="V82" s="105">
        <v>3</v>
      </c>
      <c r="W82" s="150"/>
      <c r="X82" s="374"/>
      <c r="Y82" s="375"/>
      <c r="Z82" s="376"/>
      <c r="AA82" s="120">
        <f>D82+H82+L82+P82+T82+X82</f>
        <v>340</v>
      </c>
      <c r="AB82" s="104">
        <f>E82+I82+M82+Q82+U82+Y82</f>
        <v>154</v>
      </c>
      <c r="AC82" s="152">
        <v>11</v>
      </c>
      <c r="AD82" s="154">
        <v>6</v>
      </c>
      <c r="AE82" s="121">
        <f>F82+J82+N82+R82+V82+Z82</f>
        <v>12</v>
      </c>
    </row>
    <row r="83" spans="1:32" ht="18" x14ac:dyDescent="0.3">
      <c r="A83" s="118">
        <v>8</v>
      </c>
      <c r="B83" s="125" t="s">
        <v>99</v>
      </c>
      <c r="C83" s="124" t="s">
        <v>18</v>
      </c>
      <c r="D83" s="120">
        <v>96</v>
      </c>
      <c r="E83" s="104">
        <v>47</v>
      </c>
      <c r="F83" s="105">
        <v>4</v>
      </c>
      <c r="G83" s="150"/>
      <c r="H83" s="120">
        <v>107</v>
      </c>
      <c r="I83" s="105">
        <v>63</v>
      </c>
      <c r="J83" s="126">
        <v>4</v>
      </c>
      <c r="K83" s="168"/>
      <c r="L83" s="122">
        <v>91</v>
      </c>
      <c r="M83" s="104">
        <v>39</v>
      </c>
      <c r="N83" s="105">
        <v>4</v>
      </c>
      <c r="O83" s="151"/>
      <c r="P83" s="120">
        <v>83</v>
      </c>
      <c r="Q83" s="104">
        <v>34</v>
      </c>
      <c r="R83" s="105">
        <v>3</v>
      </c>
      <c r="S83" s="123"/>
      <c r="T83" s="120">
        <v>129</v>
      </c>
      <c r="U83" s="104">
        <v>64</v>
      </c>
      <c r="V83" s="105">
        <v>5</v>
      </c>
      <c r="W83" s="150"/>
      <c r="X83" s="374"/>
      <c r="Y83" s="375"/>
      <c r="Z83" s="376"/>
      <c r="AA83" s="120">
        <f>D83+H83+L83+P83+T83+X83</f>
        <v>506</v>
      </c>
      <c r="AB83" s="104">
        <f>E83+I83+M83+Q83+U83+Y83</f>
        <v>247</v>
      </c>
      <c r="AC83" s="120">
        <v>19</v>
      </c>
      <c r="AD83" s="105">
        <v>11</v>
      </c>
      <c r="AE83" s="121">
        <f>F83+J83+N83+R83+V83+Z83</f>
        <v>20</v>
      </c>
    </row>
    <row r="84" spans="1:32" ht="28.8" x14ac:dyDescent="0.3">
      <c r="A84" s="118">
        <v>9</v>
      </c>
      <c r="B84" s="125" t="s">
        <v>99</v>
      </c>
      <c r="C84" s="119" t="s">
        <v>84</v>
      </c>
      <c r="D84" s="120">
        <v>93</v>
      </c>
      <c r="E84" s="104">
        <v>49</v>
      </c>
      <c r="F84" s="105">
        <v>3</v>
      </c>
      <c r="G84" s="150"/>
      <c r="H84" s="120">
        <v>92</v>
      </c>
      <c r="I84" s="105">
        <v>43</v>
      </c>
      <c r="J84" s="126">
        <v>3</v>
      </c>
      <c r="K84" s="150"/>
      <c r="L84" s="122">
        <v>68</v>
      </c>
      <c r="M84" s="104">
        <v>29</v>
      </c>
      <c r="N84" s="105">
        <v>3</v>
      </c>
      <c r="O84" s="150"/>
      <c r="P84" s="120">
        <v>103</v>
      </c>
      <c r="Q84" s="104">
        <v>48</v>
      </c>
      <c r="R84" s="105">
        <v>4</v>
      </c>
      <c r="S84" s="123"/>
      <c r="T84" s="120">
        <v>79</v>
      </c>
      <c r="U84" s="104">
        <v>30</v>
      </c>
      <c r="V84" s="105">
        <v>3</v>
      </c>
      <c r="W84" s="150"/>
      <c r="X84" s="374"/>
      <c r="Y84" s="375"/>
      <c r="Z84" s="376"/>
      <c r="AA84" s="120">
        <f>D84+H84+L84+P84+T84+X84</f>
        <v>435</v>
      </c>
      <c r="AB84" s="104">
        <f>E84+I84+M84+Q84+U84+Y84</f>
        <v>199</v>
      </c>
      <c r="AC84" s="152">
        <v>11</v>
      </c>
      <c r="AD84" s="154">
        <v>4</v>
      </c>
      <c r="AE84" s="121">
        <f>F84+J84+N84+R84+V84+Z84</f>
        <v>16</v>
      </c>
    </row>
    <row r="85" spans="1:32" ht="16.2" x14ac:dyDescent="0.3">
      <c r="A85" s="118">
        <v>10</v>
      </c>
      <c r="B85" s="125" t="s">
        <v>99</v>
      </c>
      <c r="C85" s="155" t="s">
        <v>20</v>
      </c>
      <c r="D85" s="103">
        <v>107</v>
      </c>
      <c r="E85" s="104">
        <v>54</v>
      </c>
      <c r="F85" s="105">
        <v>4</v>
      </c>
      <c r="G85" s="150"/>
      <c r="H85" s="120">
        <v>85</v>
      </c>
      <c r="I85" s="105">
        <v>56</v>
      </c>
      <c r="J85" s="126">
        <v>3</v>
      </c>
      <c r="K85" s="150"/>
      <c r="L85" s="122">
        <v>106</v>
      </c>
      <c r="M85" s="104">
        <v>43</v>
      </c>
      <c r="N85" s="105">
        <v>4</v>
      </c>
      <c r="O85" s="150"/>
      <c r="P85" s="120">
        <v>107</v>
      </c>
      <c r="Q85" s="104">
        <v>55</v>
      </c>
      <c r="R85" s="105">
        <v>4</v>
      </c>
      <c r="S85" s="150"/>
      <c r="T85" s="120">
        <v>92</v>
      </c>
      <c r="U85" s="104">
        <v>38</v>
      </c>
      <c r="V85" s="105">
        <v>4</v>
      </c>
      <c r="W85" s="150"/>
      <c r="X85" s="374"/>
      <c r="Y85" s="375"/>
      <c r="Z85" s="376"/>
      <c r="AA85" s="120">
        <f>D85+H85+L85+P85+T85+X85</f>
        <v>497</v>
      </c>
      <c r="AB85" s="104">
        <f>E85+I85+M85+Q85+U85+Y85</f>
        <v>246</v>
      </c>
      <c r="AC85" s="120">
        <v>10</v>
      </c>
      <c r="AD85" s="105">
        <v>3</v>
      </c>
      <c r="AE85" s="121">
        <f>F85+J85+N85+R85+V85+Z85</f>
        <v>19</v>
      </c>
    </row>
    <row r="86" spans="1:32" ht="16.8" thickBot="1" x14ac:dyDescent="0.35">
      <c r="A86" s="118">
        <v>11</v>
      </c>
      <c r="B86" s="127" t="s">
        <v>99</v>
      </c>
      <c r="C86" s="119" t="s">
        <v>21</v>
      </c>
      <c r="D86" s="156">
        <v>116</v>
      </c>
      <c r="E86" s="104">
        <v>45</v>
      </c>
      <c r="F86" s="105">
        <v>4</v>
      </c>
      <c r="G86" s="150"/>
      <c r="H86" s="120">
        <v>121</v>
      </c>
      <c r="I86" s="105">
        <v>54</v>
      </c>
      <c r="J86" s="139">
        <v>4</v>
      </c>
      <c r="K86" s="150"/>
      <c r="L86" s="122">
        <v>120</v>
      </c>
      <c r="M86" s="104">
        <v>44</v>
      </c>
      <c r="N86" s="105">
        <v>4</v>
      </c>
      <c r="O86" s="150"/>
      <c r="P86" s="120">
        <v>111</v>
      </c>
      <c r="Q86" s="104">
        <v>42</v>
      </c>
      <c r="R86" s="105">
        <v>4</v>
      </c>
      <c r="S86" s="123"/>
      <c r="T86" s="120">
        <v>119</v>
      </c>
      <c r="U86" s="104">
        <v>50</v>
      </c>
      <c r="V86" s="105">
        <v>4</v>
      </c>
      <c r="W86" s="150"/>
      <c r="X86" s="374"/>
      <c r="Y86" s="375"/>
      <c r="Z86" s="376"/>
      <c r="AA86" s="120">
        <f>D86+H86+L86+P86+T86+X86</f>
        <v>587</v>
      </c>
      <c r="AB86" s="104">
        <f>E86+I86+M86+Q86+U86+Y86</f>
        <v>235</v>
      </c>
      <c r="AC86" s="141">
        <v>30</v>
      </c>
      <c r="AD86" s="157">
        <v>13</v>
      </c>
      <c r="AE86" s="121">
        <f>F86+J86+N86+R86+V86+Z86</f>
        <v>20</v>
      </c>
    </row>
    <row r="87" spans="1:32" s="177" customFormat="1" ht="31.8" thickBot="1" x14ac:dyDescent="0.35">
      <c r="A87" s="129"/>
      <c r="B87" s="130" t="s">
        <v>99</v>
      </c>
      <c r="C87" s="158" t="s">
        <v>53</v>
      </c>
      <c r="D87" s="131">
        <f>SUM(D76:D86)</f>
        <v>1116</v>
      </c>
      <c r="E87" s="131">
        <f>SUM(E76:E86)</f>
        <v>498</v>
      </c>
      <c r="F87" s="363">
        <f>SUM(F76:F86)</f>
        <v>41</v>
      </c>
      <c r="G87" s="364"/>
      <c r="H87" s="131">
        <f>SUM(H76:H86)</f>
        <v>1147</v>
      </c>
      <c r="I87" s="351">
        <f>SUM(I76:I86)</f>
        <v>567</v>
      </c>
      <c r="J87" s="363">
        <f>SUM(J76:J86)</f>
        <v>40</v>
      </c>
      <c r="K87" s="364"/>
      <c r="L87" s="352">
        <f>SUM(L76:L86)</f>
        <v>1146</v>
      </c>
      <c r="M87" s="131">
        <f>SUM(M76:M86)</f>
        <v>543</v>
      </c>
      <c r="N87" s="363">
        <f>SUM(N76:N86)</f>
        <v>43</v>
      </c>
      <c r="O87" s="364"/>
      <c r="P87" s="131">
        <f>SUM(P76:P86)</f>
        <v>1145</v>
      </c>
      <c r="Q87" s="131">
        <f>SUM(Q76:Q86)</f>
        <v>538</v>
      </c>
      <c r="R87" s="363">
        <f>SUM(R76:R86)</f>
        <v>42</v>
      </c>
      <c r="S87" s="364"/>
      <c r="T87" s="131">
        <f>SUM(T76:T86)</f>
        <v>1196</v>
      </c>
      <c r="U87" s="131">
        <f>SUM(U76:U86)</f>
        <v>578</v>
      </c>
      <c r="V87" s="363">
        <f>SUM(V76:V86)</f>
        <v>45</v>
      </c>
      <c r="W87" s="364"/>
      <c r="X87" s="377"/>
      <c r="Y87" s="378"/>
      <c r="Z87" s="379"/>
      <c r="AA87" s="131">
        <f>SUM(AA76:AA86)</f>
        <v>5750</v>
      </c>
      <c r="AB87" s="131">
        <f t="shared" ref="AB87:AE87" si="7">SUM(AB76:AB86)</f>
        <v>2724</v>
      </c>
      <c r="AC87" s="131">
        <f t="shared" si="7"/>
        <v>236</v>
      </c>
      <c r="AD87" s="131">
        <f t="shared" si="7"/>
        <v>110</v>
      </c>
      <c r="AE87" s="132">
        <f t="shared" si="7"/>
        <v>211</v>
      </c>
      <c r="AF87" s="176"/>
    </row>
    <row r="88" spans="1:32" x14ac:dyDescent="0.25">
      <c r="A88" s="212" t="s">
        <v>114</v>
      </c>
      <c r="AA88" s="178"/>
    </row>
    <row r="89" spans="1:32" s="272" customFormat="1" ht="30" x14ac:dyDescent="0.25">
      <c r="A89" s="197">
        <v>1</v>
      </c>
      <c r="B89" s="268" t="s">
        <v>117</v>
      </c>
      <c r="C89" s="252" t="s">
        <v>11</v>
      </c>
      <c r="D89" s="253">
        <v>142</v>
      </c>
      <c r="E89" s="251">
        <v>76</v>
      </c>
      <c r="F89" s="254">
        <v>5</v>
      </c>
      <c r="G89" s="269"/>
      <c r="H89" s="253">
        <v>145</v>
      </c>
      <c r="I89" s="254">
        <v>69</v>
      </c>
      <c r="J89" s="254">
        <v>5</v>
      </c>
      <c r="K89" s="269"/>
      <c r="L89" s="256">
        <v>150</v>
      </c>
      <c r="M89" s="251">
        <v>77</v>
      </c>
      <c r="N89" s="254">
        <v>5</v>
      </c>
      <c r="O89" s="270"/>
      <c r="P89" s="253">
        <v>139</v>
      </c>
      <c r="Q89" s="251">
        <v>82</v>
      </c>
      <c r="R89" s="254">
        <v>5</v>
      </c>
      <c r="S89" s="269"/>
      <c r="T89" s="253">
        <v>147</v>
      </c>
      <c r="U89" s="251">
        <v>85</v>
      </c>
      <c r="V89" s="254">
        <v>5</v>
      </c>
      <c r="W89" s="269"/>
      <c r="X89" s="380"/>
      <c r="Y89" s="381"/>
      <c r="Z89" s="382"/>
      <c r="AA89" s="253">
        <f>D89+H89+L89+P89+T89</f>
        <v>723</v>
      </c>
      <c r="AB89" s="251">
        <f>E89+I89+M89+Q89+U89+Y89</f>
        <v>389</v>
      </c>
      <c r="AC89" s="271">
        <f>8+1+5+4+2</f>
        <v>20</v>
      </c>
      <c r="AD89" s="198">
        <f>4+2+4+2</f>
        <v>12</v>
      </c>
      <c r="AE89" s="257">
        <f>F89+J89+N89+R89+V89+Z89</f>
        <v>25</v>
      </c>
      <c r="AF89" s="148"/>
    </row>
    <row r="90" spans="1:32" s="272" customFormat="1" ht="41.4" x14ac:dyDescent="0.25">
      <c r="A90" s="197">
        <v>2</v>
      </c>
      <c r="B90" s="268" t="s">
        <v>117</v>
      </c>
      <c r="C90" s="252" t="s">
        <v>85</v>
      </c>
      <c r="D90" s="253">
        <v>124</v>
      </c>
      <c r="E90" s="251">
        <v>62</v>
      </c>
      <c r="F90" s="254">
        <v>5</v>
      </c>
      <c r="G90" s="269"/>
      <c r="H90" s="253">
        <v>116</v>
      </c>
      <c r="I90" s="254">
        <v>43</v>
      </c>
      <c r="J90" s="193">
        <v>5</v>
      </c>
      <c r="K90" s="273"/>
      <c r="L90" s="256">
        <v>125</v>
      </c>
      <c r="M90" s="251">
        <v>46</v>
      </c>
      <c r="N90" s="254">
        <v>5</v>
      </c>
      <c r="O90" s="270"/>
      <c r="P90" s="253">
        <v>119</v>
      </c>
      <c r="Q90" s="251">
        <v>60</v>
      </c>
      <c r="R90" s="254">
        <v>4</v>
      </c>
      <c r="S90" s="273"/>
      <c r="T90" s="253">
        <v>111</v>
      </c>
      <c r="U90" s="251">
        <v>36</v>
      </c>
      <c r="V90" s="254">
        <v>4</v>
      </c>
      <c r="W90" s="269"/>
      <c r="X90" s="383"/>
      <c r="Y90" s="384"/>
      <c r="Z90" s="385"/>
      <c r="AA90" s="253">
        <f>D90+H90+L90+P90+T90+X90</f>
        <v>595</v>
      </c>
      <c r="AB90" s="251">
        <f>E90+I90+M90+Q90+U90+Y90</f>
        <v>247</v>
      </c>
      <c r="AC90" s="253">
        <f>3+5+4+5+4</f>
        <v>21</v>
      </c>
      <c r="AD90" s="254">
        <f>2+3+2+3</f>
        <v>10</v>
      </c>
      <c r="AE90" s="257">
        <f>F90+J90+N90+R90+V90+Z90</f>
        <v>23</v>
      </c>
      <c r="AF90" s="148"/>
    </row>
    <row r="91" spans="1:32" s="272" customFormat="1" ht="45.6" x14ac:dyDescent="0.25">
      <c r="A91" s="197">
        <v>3</v>
      </c>
      <c r="B91" s="268" t="s">
        <v>117</v>
      </c>
      <c r="C91" s="252" t="s">
        <v>110</v>
      </c>
      <c r="D91" s="253">
        <v>94</v>
      </c>
      <c r="E91" s="251">
        <v>49</v>
      </c>
      <c r="F91" s="254">
        <v>4</v>
      </c>
      <c r="G91" s="269"/>
      <c r="H91" s="253">
        <v>79</v>
      </c>
      <c r="I91" s="254">
        <v>27</v>
      </c>
      <c r="J91" s="198">
        <v>3</v>
      </c>
      <c r="K91" s="269"/>
      <c r="L91" s="256">
        <v>66</v>
      </c>
      <c r="M91" s="251">
        <v>32</v>
      </c>
      <c r="N91" s="254">
        <v>3</v>
      </c>
      <c r="O91" s="270"/>
      <c r="P91" s="253">
        <v>85</v>
      </c>
      <c r="Q91" s="251">
        <v>44</v>
      </c>
      <c r="R91" s="254">
        <v>3</v>
      </c>
      <c r="S91" s="270"/>
      <c r="T91" s="253">
        <v>81</v>
      </c>
      <c r="U91" s="251">
        <v>44</v>
      </c>
      <c r="V91" s="254">
        <v>3</v>
      </c>
      <c r="W91" s="269"/>
      <c r="X91" s="274">
        <v>79</v>
      </c>
      <c r="Y91" s="275">
        <v>48</v>
      </c>
      <c r="Z91" s="275">
        <v>3</v>
      </c>
      <c r="AA91" s="253">
        <f>D91+H91+L91+P91+T91+X91</f>
        <v>484</v>
      </c>
      <c r="AB91" s="251">
        <f>E91+I91+M91+Q91+U91+Y91</f>
        <v>244</v>
      </c>
      <c r="AC91" s="276">
        <f>10+12+6+3+7+8</f>
        <v>46</v>
      </c>
      <c r="AD91" s="193">
        <f>7+2+4+2+5+4</f>
        <v>24</v>
      </c>
      <c r="AE91" s="257">
        <f>F91+J91+N91+R91+V91+Z91</f>
        <v>19</v>
      </c>
      <c r="AF91" s="148"/>
    </row>
    <row r="92" spans="1:32" s="272" customFormat="1" x14ac:dyDescent="0.25">
      <c r="A92" s="197">
        <v>4</v>
      </c>
      <c r="B92" s="268" t="s">
        <v>117</v>
      </c>
      <c r="C92" s="260" t="s">
        <v>14</v>
      </c>
      <c r="D92" s="253">
        <v>120</v>
      </c>
      <c r="E92" s="251">
        <v>47</v>
      </c>
      <c r="F92" s="254">
        <v>4</v>
      </c>
      <c r="G92" s="269"/>
      <c r="H92" s="253">
        <v>110</v>
      </c>
      <c r="I92" s="254">
        <v>48</v>
      </c>
      <c r="J92" s="198">
        <v>4</v>
      </c>
      <c r="K92" s="255"/>
      <c r="L92" s="256">
        <v>116</v>
      </c>
      <c r="M92" s="251">
        <v>51</v>
      </c>
      <c r="N92" s="254">
        <v>4</v>
      </c>
      <c r="O92" s="270"/>
      <c r="P92" s="253">
        <v>111</v>
      </c>
      <c r="Q92" s="251">
        <v>57</v>
      </c>
      <c r="R92" s="254">
        <v>4</v>
      </c>
      <c r="S92" s="259"/>
      <c r="T92" s="253">
        <v>116</v>
      </c>
      <c r="U92" s="251">
        <v>47</v>
      </c>
      <c r="V92" s="254">
        <v>4</v>
      </c>
      <c r="W92" s="269"/>
      <c r="X92" s="383"/>
      <c r="Y92" s="384"/>
      <c r="Z92" s="385"/>
      <c r="AA92" s="253">
        <f>D92+H92+L92+P92+T92+X92</f>
        <v>573</v>
      </c>
      <c r="AB92" s="251">
        <f>E92+I92+M92+Q92+U92+Y92</f>
        <v>250</v>
      </c>
      <c r="AC92" s="253">
        <f>12+20+12+10+8</f>
        <v>62</v>
      </c>
      <c r="AD92" s="254">
        <f>6+12+4+3+2</f>
        <v>27</v>
      </c>
      <c r="AE92" s="257">
        <f>F92+J92+N92+R92+V92+Z92</f>
        <v>20</v>
      </c>
      <c r="AF92" s="148"/>
    </row>
    <row r="93" spans="1:32" s="272" customFormat="1" x14ac:dyDescent="0.25">
      <c r="A93" s="197">
        <v>5</v>
      </c>
      <c r="B93" s="268" t="s">
        <v>117</v>
      </c>
      <c r="C93" s="260" t="s">
        <v>15</v>
      </c>
      <c r="D93" s="349">
        <v>127</v>
      </c>
      <c r="E93" s="251">
        <v>65</v>
      </c>
      <c r="F93" s="254">
        <v>5</v>
      </c>
      <c r="G93" s="269"/>
      <c r="H93" s="253">
        <v>121</v>
      </c>
      <c r="I93" s="254">
        <v>62</v>
      </c>
      <c r="J93" s="198">
        <v>4</v>
      </c>
      <c r="K93" s="255"/>
      <c r="L93" s="256">
        <v>112</v>
      </c>
      <c r="M93" s="251">
        <v>66</v>
      </c>
      <c r="N93" s="254">
        <v>4</v>
      </c>
      <c r="O93" s="270"/>
      <c r="P93" s="253">
        <v>134</v>
      </c>
      <c r="Q93" s="251">
        <v>65</v>
      </c>
      <c r="R93" s="254">
        <v>5</v>
      </c>
      <c r="S93" s="259"/>
      <c r="T93" s="253">
        <v>131</v>
      </c>
      <c r="U93" s="251">
        <v>66</v>
      </c>
      <c r="V93" s="254">
        <v>5</v>
      </c>
      <c r="W93" s="269"/>
      <c r="X93" s="383"/>
      <c r="Y93" s="384"/>
      <c r="Z93" s="385"/>
      <c r="AA93" s="253">
        <f>D93+H93+L93+P93+T93+X93</f>
        <v>625</v>
      </c>
      <c r="AB93" s="251">
        <f>E93+I93+M93+Q93+U93+Y93</f>
        <v>324</v>
      </c>
      <c r="AC93" s="276">
        <f>7+7+2+7+8</f>
        <v>31</v>
      </c>
      <c r="AD93" s="193">
        <f>3+2+2+2+5</f>
        <v>14</v>
      </c>
      <c r="AE93" s="257">
        <f>F93+J93+N93+R93+V93+Z93</f>
        <v>23</v>
      </c>
      <c r="AF93" s="148"/>
    </row>
    <row r="94" spans="1:32" s="272" customFormat="1" x14ac:dyDescent="0.25">
      <c r="A94" s="197">
        <v>6</v>
      </c>
      <c r="B94" s="268" t="s">
        <v>117</v>
      </c>
      <c r="C94" s="252" t="s">
        <v>16</v>
      </c>
      <c r="D94" s="253">
        <v>68</v>
      </c>
      <c r="E94" s="251">
        <v>34</v>
      </c>
      <c r="F94" s="254">
        <v>3</v>
      </c>
      <c r="G94" s="269"/>
      <c r="H94" s="253">
        <v>64</v>
      </c>
      <c r="I94" s="254">
        <v>28</v>
      </c>
      <c r="J94" s="198">
        <v>2</v>
      </c>
      <c r="K94" s="255"/>
      <c r="L94" s="256">
        <v>89</v>
      </c>
      <c r="M94" s="251">
        <v>48</v>
      </c>
      <c r="N94" s="254">
        <v>3</v>
      </c>
      <c r="O94" s="270"/>
      <c r="P94" s="253">
        <v>98</v>
      </c>
      <c r="Q94" s="251">
        <v>41</v>
      </c>
      <c r="R94" s="254">
        <v>4</v>
      </c>
      <c r="S94" s="270"/>
      <c r="T94" s="253">
        <v>96</v>
      </c>
      <c r="U94" s="251">
        <v>49</v>
      </c>
      <c r="V94" s="254">
        <v>4</v>
      </c>
      <c r="W94" s="269"/>
      <c r="X94" s="383"/>
      <c r="Y94" s="384"/>
      <c r="Z94" s="385"/>
      <c r="AA94" s="253">
        <f>D94+H94+L94+P94+T94+X94</f>
        <v>415</v>
      </c>
      <c r="AB94" s="251">
        <f>E94+I94+M94+Q94+U94+Y94</f>
        <v>200</v>
      </c>
      <c r="AC94" s="253">
        <f>3+1+4+1</f>
        <v>9</v>
      </c>
      <c r="AD94" s="254">
        <f>3+4</f>
        <v>7</v>
      </c>
      <c r="AE94" s="257">
        <f>F94+J94+N94+R94+V94+Z94</f>
        <v>16</v>
      </c>
      <c r="AF94" s="148"/>
    </row>
    <row r="95" spans="1:32" s="272" customFormat="1" ht="30" x14ac:dyDescent="0.25">
      <c r="A95" s="197">
        <v>7</v>
      </c>
      <c r="B95" s="268" t="s">
        <v>117</v>
      </c>
      <c r="C95" s="252" t="s">
        <v>17</v>
      </c>
      <c r="D95" s="253">
        <v>55</v>
      </c>
      <c r="E95" s="251">
        <v>27</v>
      </c>
      <c r="F95" s="254">
        <v>2</v>
      </c>
      <c r="G95" s="269"/>
      <c r="H95" s="253">
        <v>100</v>
      </c>
      <c r="I95" s="254">
        <v>39</v>
      </c>
      <c r="J95" s="198">
        <v>4</v>
      </c>
      <c r="K95" s="255"/>
      <c r="L95" s="256">
        <v>59</v>
      </c>
      <c r="M95" s="251">
        <v>18</v>
      </c>
      <c r="N95" s="254">
        <v>2</v>
      </c>
      <c r="O95" s="270"/>
      <c r="P95" s="253">
        <v>66</v>
      </c>
      <c r="Q95" s="251">
        <v>37</v>
      </c>
      <c r="R95" s="254">
        <v>2</v>
      </c>
      <c r="S95" s="269"/>
      <c r="T95" s="253">
        <v>59</v>
      </c>
      <c r="U95" s="251">
        <v>34</v>
      </c>
      <c r="V95" s="254">
        <v>2</v>
      </c>
      <c r="W95" s="269"/>
      <c r="X95" s="383"/>
      <c r="Y95" s="384"/>
      <c r="Z95" s="385"/>
      <c r="AA95" s="253">
        <f>D95+H95+L95+P95+T95+X95</f>
        <v>339</v>
      </c>
      <c r="AB95" s="251">
        <f>E95+I95+M95+Q95+U95+Y95</f>
        <v>155</v>
      </c>
      <c r="AC95" s="276">
        <f>6+23+4+2+3</f>
        <v>38</v>
      </c>
      <c r="AD95" s="193">
        <f>1+9+2+1</f>
        <v>13</v>
      </c>
      <c r="AE95" s="257">
        <f>F95+J95+N95+R95+V95+Z95</f>
        <v>12</v>
      </c>
      <c r="AF95" s="148"/>
    </row>
    <row r="96" spans="1:32" s="272" customFormat="1" x14ac:dyDescent="0.25">
      <c r="A96" s="197">
        <v>8</v>
      </c>
      <c r="B96" s="268" t="s">
        <v>117</v>
      </c>
      <c r="C96" s="260" t="s">
        <v>18</v>
      </c>
      <c r="D96" s="253">
        <v>105</v>
      </c>
      <c r="E96" s="251">
        <v>43</v>
      </c>
      <c r="F96" s="254">
        <v>4</v>
      </c>
      <c r="G96" s="269"/>
      <c r="H96" s="253">
        <v>94</v>
      </c>
      <c r="I96" s="254">
        <v>48</v>
      </c>
      <c r="J96" s="198">
        <v>4</v>
      </c>
      <c r="K96" s="255"/>
      <c r="L96" s="256">
        <v>104</v>
      </c>
      <c r="M96" s="251">
        <v>61</v>
      </c>
      <c r="N96" s="254">
        <v>4</v>
      </c>
      <c r="O96" s="270"/>
      <c r="P96" s="253">
        <v>95</v>
      </c>
      <c r="Q96" s="251">
        <v>38</v>
      </c>
      <c r="R96" s="254">
        <v>4</v>
      </c>
      <c r="S96" s="259"/>
      <c r="T96" s="253">
        <v>91</v>
      </c>
      <c r="U96" s="251">
        <v>37</v>
      </c>
      <c r="V96" s="254">
        <v>3</v>
      </c>
      <c r="W96" s="269"/>
      <c r="X96" s="383"/>
      <c r="Y96" s="384"/>
      <c r="Z96" s="385"/>
      <c r="AA96" s="253">
        <f>D96+H96+L96+P96+T96+X96</f>
        <v>489</v>
      </c>
      <c r="AB96" s="251">
        <f>E96+I96+M96+Q96+U96+Y96</f>
        <v>227</v>
      </c>
      <c r="AC96" s="253">
        <f>9+8+2+4+10</f>
        <v>33</v>
      </c>
      <c r="AD96" s="254">
        <f>4+5+1+5</f>
        <v>15</v>
      </c>
      <c r="AE96" s="257">
        <f>F96+J96+N96+R96+V96+Z96</f>
        <v>19</v>
      </c>
      <c r="AF96" s="148"/>
    </row>
    <row r="97" spans="1:32" s="272" customFormat="1" ht="28.2" x14ac:dyDescent="0.25">
      <c r="A97" s="197">
        <v>9</v>
      </c>
      <c r="B97" s="268" t="s">
        <v>117</v>
      </c>
      <c r="C97" s="252" t="s">
        <v>84</v>
      </c>
      <c r="D97" s="253">
        <v>88</v>
      </c>
      <c r="E97" s="251">
        <v>37</v>
      </c>
      <c r="F97" s="254">
        <v>3</v>
      </c>
      <c r="G97" s="269"/>
      <c r="H97" s="253">
        <v>87</v>
      </c>
      <c r="I97" s="254">
        <v>47</v>
      </c>
      <c r="J97" s="198">
        <v>3</v>
      </c>
      <c r="K97" s="269"/>
      <c r="L97" s="256">
        <v>89</v>
      </c>
      <c r="M97" s="251">
        <v>43</v>
      </c>
      <c r="N97" s="254">
        <v>3</v>
      </c>
      <c r="O97" s="269"/>
      <c r="P97" s="253">
        <v>70</v>
      </c>
      <c r="Q97" s="251">
        <v>32</v>
      </c>
      <c r="R97" s="254">
        <v>3</v>
      </c>
      <c r="S97" s="259"/>
      <c r="T97" s="253">
        <v>108</v>
      </c>
      <c r="U97" s="251">
        <v>51</v>
      </c>
      <c r="V97" s="254">
        <v>4</v>
      </c>
      <c r="W97" s="269"/>
      <c r="X97" s="383"/>
      <c r="Y97" s="384"/>
      <c r="Z97" s="385"/>
      <c r="AA97" s="253">
        <f>D97+H97+L97+P97+T97+X97</f>
        <v>442</v>
      </c>
      <c r="AB97" s="251">
        <f>E97+I97+M97+Q97+U97+Y97</f>
        <v>210</v>
      </c>
      <c r="AC97" s="276">
        <f>4+3+3+2+3</f>
        <v>15</v>
      </c>
      <c r="AD97" s="193">
        <f>2+2+1</f>
        <v>5</v>
      </c>
      <c r="AE97" s="257">
        <f>F97+J97+N97+R97+V97+Z97</f>
        <v>16</v>
      </c>
      <c r="AF97" s="148"/>
    </row>
    <row r="98" spans="1:32" s="272" customFormat="1" ht="15.6" x14ac:dyDescent="0.25">
      <c r="A98" s="197">
        <v>10</v>
      </c>
      <c r="B98" s="268" t="s">
        <v>117</v>
      </c>
      <c r="C98" s="277" t="s">
        <v>20</v>
      </c>
      <c r="D98" s="349">
        <v>119</v>
      </c>
      <c r="E98" s="251">
        <v>53</v>
      </c>
      <c r="F98" s="254">
        <v>4</v>
      </c>
      <c r="G98" s="269"/>
      <c r="H98" s="253">
        <v>110</v>
      </c>
      <c r="I98" s="254">
        <v>55</v>
      </c>
      <c r="J98" s="198">
        <v>4</v>
      </c>
      <c r="K98" s="269"/>
      <c r="L98" s="256">
        <v>82</v>
      </c>
      <c r="M98" s="251">
        <v>52</v>
      </c>
      <c r="N98" s="254">
        <v>3</v>
      </c>
      <c r="O98" s="269"/>
      <c r="P98" s="253">
        <v>100</v>
      </c>
      <c r="Q98" s="251">
        <v>42</v>
      </c>
      <c r="R98" s="254">
        <v>4</v>
      </c>
      <c r="S98" s="269"/>
      <c r="T98" s="253">
        <v>107</v>
      </c>
      <c r="U98" s="251">
        <v>56</v>
      </c>
      <c r="V98" s="254">
        <v>4</v>
      </c>
      <c r="W98" s="269"/>
      <c r="X98" s="383"/>
      <c r="Y98" s="384"/>
      <c r="Z98" s="385"/>
      <c r="AA98" s="253">
        <f>D98+H98+L98+P98+T98+X98</f>
        <v>518</v>
      </c>
      <c r="AB98" s="251">
        <f>E98+I98+M98+Q98+U98+Y98</f>
        <v>258</v>
      </c>
      <c r="AC98" s="253">
        <f>4+4+4+2</f>
        <v>14</v>
      </c>
      <c r="AD98" s="254">
        <f>1+2+1</f>
        <v>4</v>
      </c>
      <c r="AE98" s="257">
        <f>F98+J98+N98+R98+V98+Z98</f>
        <v>19</v>
      </c>
      <c r="AF98" s="148"/>
    </row>
    <row r="99" spans="1:32" s="272" customFormat="1" ht="16.2" thickBot="1" x14ac:dyDescent="0.3">
      <c r="A99" s="197">
        <v>11</v>
      </c>
      <c r="B99" s="261" t="s">
        <v>117</v>
      </c>
      <c r="C99" s="252" t="s">
        <v>21</v>
      </c>
      <c r="D99" s="219">
        <v>121</v>
      </c>
      <c r="E99" s="251">
        <v>57</v>
      </c>
      <c r="F99" s="254">
        <v>4</v>
      </c>
      <c r="G99" s="269"/>
      <c r="H99" s="253">
        <v>114</v>
      </c>
      <c r="I99" s="254">
        <v>43</v>
      </c>
      <c r="J99" s="262">
        <v>4</v>
      </c>
      <c r="K99" s="269"/>
      <c r="L99" s="256">
        <v>113</v>
      </c>
      <c r="M99" s="251">
        <v>52</v>
      </c>
      <c r="N99" s="254">
        <v>4</v>
      </c>
      <c r="O99" s="269"/>
      <c r="P99" s="253">
        <v>123</v>
      </c>
      <c r="Q99" s="251">
        <v>44</v>
      </c>
      <c r="R99" s="254">
        <v>4</v>
      </c>
      <c r="S99" s="259"/>
      <c r="T99" s="253">
        <v>106</v>
      </c>
      <c r="U99" s="251">
        <v>43</v>
      </c>
      <c r="V99" s="254">
        <v>4</v>
      </c>
      <c r="W99" s="269"/>
      <c r="X99" s="383"/>
      <c r="Y99" s="384"/>
      <c r="Z99" s="385"/>
      <c r="AA99" s="253">
        <f>D99+H99+L99+P99+T99+X99</f>
        <v>577</v>
      </c>
      <c r="AB99" s="251">
        <f>E99+I99+M99+Q99+U99+Y99</f>
        <v>239</v>
      </c>
      <c r="AC99" s="278">
        <f>8+9+9+7+6</f>
        <v>39</v>
      </c>
      <c r="AD99" s="279">
        <f>4+1+5+3+6</f>
        <v>19</v>
      </c>
      <c r="AE99" s="257">
        <f>F99+J99+N99+R99+V99+Z99</f>
        <v>20</v>
      </c>
      <c r="AF99" s="148"/>
    </row>
    <row r="100" spans="1:32" s="282" customFormat="1" ht="31.8" thickBot="1" x14ac:dyDescent="0.3">
      <c r="A100" s="263"/>
      <c r="B100" s="264" t="s">
        <v>117</v>
      </c>
      <c r="C100" s="280" t="s">
        <v>53</v>
      </c>
      <c r="D100" s="265">
        <f>SUM(D89:D99)</f>
        <v>1163</v>
      </c>
      <c r="E100" s="265">
        <f>SUM(E89:E99)</f>
        <v>550</v>
      </c>
      <c r="F100" s="365">
        <f>SUM(F89:F99)</f>
        <v>43</v>
      </c>
      <c r="G100" s="366"/>
      <c r="H100" s="265">
        <f>SUM(H89:H99)</f>
        <v>1140</v>
      </c>
      <c r="I100" s="353">
        <f>SUM(I89:I99)</f>
        <v>509</v>
      </c>
      <c r="J100" s="365">
        <f>SUM(J89:J99)</f>
        <v>42</v>
      </c>
      <c r="K100" s="366"/>
      <c r="L100" s="354">
        <f>SUM(L89:L99)</f>
        <v>1105</v>
      </c>
      <c r="M100" s="265">
        <f>SUM(M89:M99)</f>
        <v>546</v>
      </c>
      <c r="N100" s="365">
        <f>SUM(N89:N99)</f>
        <v>40</v>
      </c>
      <c r="O100" s="366"/>
      <c r="P100" s="265">
        <f>SUM(P89:P99)</f>
        <v>1140</v>
      </c>
      <c r="Q100" s="265">
        <f>SUM(Q89:Q99)</f>
        <v>542</v>
      </c>
      <c r="R100" s="365">
        <f>SUM(R89:R99)</f>
        <v>42</v>
      </c>
      <c r="S100" s="366"/>
      <c r="T100" s="265">
        <f>SUM(T89:T99)</f>
        <v>1153</v>
      </c>
      <c r="U100" s="265">
        <f>SUM(U89:U99)</f>
        <v>548</v>
      </c>
      <c r="V100" s="365">
        <f>SUM(V89:V99)</f>
        <v>42</v>
      </c>
      <c r="W100" s="366"/>
      <c r="X100" s="265">
        <f>X91</f>
        <v>79</v>
      </c>
      <c r="Y100" s="265">
        <f t="shared" ref="Y100:Z100" si="8">Y91</f>
        <v>48</v>
      </c>
      <c r="Z100" s="265">
        <f t="shared" si="8"/>
        <v>3</v>
      </c>
      <c r="AA100" s="265">
        <f>SUM(AA89:AA99)</f>
        <v>5780</v>
      </c>
      <c r="AB100" s="265">
        <f t="shared" ref="AB100:AE100" si="9">SUM(AB89:AB99)</f>
        <v>2743</v>
      </c>
      <c r="AC100" s="265">
        <f t="shared" si="9"/>
        <v>328</v>
      </c>
      <c r="AD100" s="265">
        <f t="shared" si="9"/>
        <v>150</v>
      </c>
      <c r="AE100" s="266">
        <f t="shared" si="9"/>
        <v>212</v>
      </c>
      <c r="AF100" s="281"/>
    </row>
    <row r="101" spans="1:32" s="272" customFormat="1" x14ac:dyDescent="0.25">
      <c r="A101" s="283" t="s">
        <v>114</v>
      </c>
      <c r="B101" s="148"/>
      <c r="C101" s="284"/>
      <c r="D101" s="148"/>
      <c r="E101" s="148"/>
      <c r="F101" s="285"/>
      <c r="G101" s="286"/>
      <c r="H101" s="148"/>
      <c r="I101" s="148"/>
      <c r="J101" s="148"/>
      <c r="K101" s="148"/>
      <c r="L101" s="148"/>
      <c r="M101" s="148"/>
      <c r="N101" s="148"/>
      <c r="O101" s="287"/>
      <c r="P101" s="148"/>
      <c r="Q101" s="148"/>
      <c r="R101" s="148"/>
      <c r="S101" s="148"/>
      <c r="T101" s="148"/>
      <c r="U101" s="148"/>
      <c r="V101" s="285"/>
      <c r="W101" s="286"/>
      <c r="X101" s="148"/>
      <c r="Y101" s="148"/>
      <c r="Z101" s="148"/>
      <c r="AA101" s="288"/>
      <c r="AB101" s="148"/>
      <c r="AC101" s="148"/>
      <c r="AD101" s="148"/>
      <c r="AE101" s="148"/>
      <c r="AF101" s="148"/>
    </row>
    <row r="102" spans="1:32" s="272" customFormat="1" ht="30" x14ac:dyDescent="0.25">
      <c r="A102" s="251">
        <v>1</v>
      </c>
      <c r="B102" s="268" t="s">
        <v>119</v>
      </c>
      <c r="C102" s="252" t="s">
        <v>11</v>
      </c>
      <c r="D102" s="253">
        <v>136</v>
      </c>
      <c r="E102" s="251">
        <v>65</v>
      </c>
      <c r="F102" s="254">
        <v>5</v>
      </c>
      <c r="G102" s="269"/>
      <c r="H102" s="253">
        <v>145</v>
      </c>
      <c r="I102" s="254">
        <v>77</v>
      </c>
      <c r="J102" s="254">
        <v>5</v>
      </c>
      <c r="K102" s="269"/>
      <c r="L102" s="256">
        <v>142</v>
      </c>
      <c r="M102" s="251">
        <v>66</v>
      </c>
      <c r="N102" s="254">
        <v>5</v>
      </c>
      <c r="O102" s="270"/>
      <c r="P102" s="253">
        <v>145</v>
      </c>
      <c r="Q102" s="251">
        <v>75</v>
      </c>
      <c r="R102" s="254">
        <v>5</v>
      </c>
      <c r="S102" s="269"/>
      <c r="T102" s="253">
        <v>139</v>
      </c>
      <c r="U102" s="251">
        <v>80</v>
      </c>
      <c r="V102" s="254">
        <v>5</v>
      </c>
      <c r="W102" s="269"/>
      <c r="X102" s="380"/>
      <c r="Y102" s="381"/>
      <c r="Z102" s="382"/>
      <c r="AA102" s="253">
        <f>D102+H102+L102+P102+T102</f>
        <v>707</v>
      </c>
      <c r="AB102" s="251">
        <f>E102+I102+M102+Q102+U102+Y102</f>
        <v>363</v>
      </c>
      <c r="AC102" s="271">
        <v>17</v>
      </c>
      <c r="AD102" s="198">
        <v>11</v>
      </c>
      <c r="AE102" s="251">
        <f>F102+J102+N102+R102+V102+Z102</f>
        <v>25</v>
      </c>
      <c r="AF102" s="148"/>
    </row>
    <row r="103" spans="1:32" s="272" customFormat="1" ht="41.4" x14ac:dyDescent="0.25">
      <c r="A103" s="251">
        <v>2</v>
      </c>
      <c r="B103" s="268" t="s">
        <v>119</v>
      </c>
      <c r="C103" s="252" t="s">
        <v>85</v>
      </c>
      <c r="D103" s="253">
        <v>116</v>
      </c>
      <c r="E103" s="251">
        <v>53</v>
      </c>
      <c r="F103" s="254">
        <v>4</v>
      </c>
      <c r="G103" s="269"/>
      <c r="H103" s="253">
        <v>126</v>
      </c>
      <c r="I103" s="254">
        <v>62</v>
      </c>
      <c r="J103" s="193">
        <v>5</v>
      </c>
      <c r="K103" s="273"/>
      <c r="L103" s="256">
        <v>109</v>
      </c>
      <c r="M103" s="251">
        <v>42</v>
      </c>
      <c r="N103" s="254">
        <v>4</v>
      </c>
      <c r="O103" s="270"/>
      <c r="P103" s="253">
        <v>123</v>
      </c>
      <c r="Q103" s="251">
        <v>44</v>
      </c>
      <c r="R103" s="254">
        <v>5</v>
      </c>
      <c r="S103" s="273"/>
      <c r="T103" s="253">
        <v>115</v>
      </c>
      <c r="U103" s="251">
        <v>61</v>
      </c>
      <c r="V103" s="254">
        <v>4</v>
      </c>
      <c r="W103" s="269"/>
      <c r="X103" s="383"/>
      <c r="Y103" s="384"/>
      <c r="Z103" s="385"/>
      <c r="AA103" s="253">
        <f>D103+H103+L103+P103+T103+X103</f>
        <v>589</v>
      </c>
      <c r="AB103" s="251">
        <f>E103+I103+M103+Q103+U103+Y103</f>
        <v>262</v>
      </c>
      <c r="AC103" s="253">
        <v>20</v>
      </c>
      <c r="AD103" s="254">
        <v>9</v>
      </c>
      <c r="AE103" s="251">
        <f>F103+J103+N103+R103+V103+Z103</f>
        <v>22</v>
      </c>
      <c r="AF103" s="148"/>
    </row>
    <row r="104" spans="1:32" s="272" customFormat="1" ht="45.6" x14ac:dyDescent="0.25">
      <c r="A104" s="251">
        <v>3</v>
      </c>
      <c r="B104" s="268" t="s">
        <v>119</v>
      </c>
      <c r="C104" s="252" t="s">
        <v>110</v>
      </c>
      <c r="D104" s="253">
        <v>86</v>
      </c>
      <c r="E104" s="251">
        <v>35</v>
      </c>
      <c r="F104" s="254">
        <v>3</v>
      </c>
      <c r="G104" s="269"/>
      <c r="H104" s="253">
        <v>97</v>
      </c>
      <c r="I104" s="254">
        <v>51</v>
      </c>
      <c r="J104" s="198">
        <v>4</v>
      </c>
      <c r="K104" s="269"/>
      <c r="L104" s="256">
        <v>66</v>
      </c>
      <c r="M104" s="251">
        <v>24</v>
      </c>
      <c r="N104" s="254">
        <v>3</v>
      </c>
      <c r="O104" s="270"/>
      <c r="P104" s="253">
        <v>71</v>
      </c>
      <c r="Q104" s="251">
        <v>35</v>
      </c>
      <c r="R104" s="254">
        <v>3</v>
      </c>
      <c r="S104" s="270"/>
      <c r="T104" s="253">
        <v>86</v>
      </c>
      <c r="U104" s="251">
        <v>47</v>
      </c>
      <c r="V104" s="254">
        <v>3</v>
      </c>
      <c r="W104" s="269"/>
      <c r="X104" s="290">
        <v>87</v>
      </c>
      <c r="Y104" s="291">
        <v>47</v>
      </c>
      <c r="Z104" s="291">
        <v>3</v>
      </c>
      <c r="AA104" s="253">
        <f>D104+H104+L104+P104+T104+X104</f>
        <v>493</v>
      </c>
      <c r="AB104" s="251">
        <f>E104+I104+M104+Q104+U104+Y104</f>
        <v>239</v>
      </c>
      <c r="AC104" s="276">
        <f>62-16</f>
        <v>46</v>
      </c>
      <c r="AD104" s="193">
        <f>32-6</f>
        <v>26</v>
      </c>
      <c r="AE104" s="251">
        <f>F104+J104+N104+R104+V104+Z104</f>
        <v>19</v>
      </c>
      <c r="AF104" s="148"/>
    </row>
    <row r="105" spans="1:32" s="272" customFormat="1" x14ac:dyDescent="0.25">
      <c r="A105" s="251">
        <v>4</v>
      </c>
      <c r="B105" s="268" t="s">
        <v>119</v>
      </c>
      <c r="C105" s="260" t="s">
        <v>14</v>
      </c>
      <c r="D105" s="253">
        <v>103</v>
      </c>
      <c r="E105" s="251">
        <v>46</v>
      </c>
      <c r="F105" s="254">
        <v>4</v>
      </c>
      <c r="G105" s="269"/>
      <c r="H105" s="253">
        <v>116</v>
      </c>
      <c r="I105" s="254">
        <v>45</v>
      </c>
      <c r="J105" s="198">
        <v>4</v>
      </c>
      <c r="K105" s="255"/>
      <c r="L105" s="256">
        <v>100</v>
      </c>
      <c r="M105" s="251">
        <v>43</v>
      </c>
      <c r="N105" s="254">
        <v>4</v>
      </c>
      <c r="O105" s="270"/>
      <c r="P105" s="253">
        <v>117</v>
      </c>
      <c r="Q105" s="251">
        <v>54</v>
      </c>
      <c r="R105" s="254">
        <v>4</v>
      </c>
      <c r="S105" s="259"/>
      <c r="T105" s="253">
        <v>112</v>
      </c>
      <c r="U105" s="251">
        <v>57</v>
      </c>
      <c r="V105" s="254">
        <v>4</v>
      </c>
      <c r="W105" s="269"/>
      <c r="X105" s="380"/>
      <c r="Y105" s="381"/>
      <c r="Z105" s="381"/>
      <c r="AA105" s="253">
        <f>D105+H105+L105+P105+T105+X105</f>
        <v>548</v>
      </c>
      <c r="AB105" s="251">
        <f>E105+I105+M105+Q105+U105+Y105</f>
        <v>245</v>
      </c>
      <c r="AC105" s="253">
        <f>81-25</f>
        <v>56</v>
      </c>
      <c r="AD105" s="254">
        <f>39-9</f>
        <v>30</v>
      </c>
      <c r="AE105" s="251">
        <f>F105+J105+N105+R105+V105+Z105</f>
        <v>20</v>
      </c>
      <c r="AF105" s="148"/>
    </row>
    <row r="106" spans="1:32" s="272" customFormat="1" x14ac:dyDescent="0.25">
      <c r="A106" s="251">
        <v>5</v>
      </c>
      <c r="B106" s="268" t="s">
        <v>119</v>
      </c>
      <c r="C106" s="260" t="s">
        <v>15</v>
      </c>
      <c r="D106" s="349">
        <v>103</v>
      </c>
      <c r="E106" s="251">
        <v>41</v>
      </c>
      <c r="F106" s="254">
        <v>4</v>
      </c>
      <c r="G106" s="269"/>
      <c r="H106" s="253">
        <v>128</v>
      </c>
      <c r="I106" s="254">
        <v>68</v>
      </c>
      <c r="J106" s="198">
        <v>5</v>
      </c>
      <c r="K106" s="255"/>
      <c r="L106" s="256">
        <v>114</v>
      </c>
      <c r="M106" s="251">
        <v>61</v>
      </c>
      <c r="N106" s="254">
        <v>4</v>
      </c>
      <c r="O106" s="270"/>
      <c r="P106" s="253">
        <v>112</v>
      </c>
      <c r="Q106" s="251">
        <v>64</v>
      </c>
      <c r="R106" s="254">
        <v>4</v>
      </c>
      <c r="S106" s="259"/>
      <c r="T106" s="253">
        <v>128</v>
      </c>
      <c r="U106" s="251">
        <v>63</v>
      </c>
      <c r="V106" s="254">
        <v>5</v>
      </c>
      <c r="W106" s="269"/>
      <c r="X106" s="383"/>
      <c r="Y106" s="384"/>
      <c r="Z106" s="384"/>
      <c r="AA106" s="253">
        <f>D106+H106+L106+P106+T106+X106</f>
        <v>585</v>
      </c>
      <c r="AB106" s="251">
        <f>E106+I106+M106+Q106+U106+Y106</f>
        <v>297</v>
      </c>
      <c r="AC106" s="276">
        <f>42-9</f>
        <v>33</v>
      </c>
      <c r="AD106" s="193">
        <f>22-7</f>
        <v>15</v>
      </c>
      <c r="AE106" s="251">
        <f>F106+J106+N106+R106+V106+Z106</f>
        <v>22</v>
      </c>
      <c r="AF106" s="148"/>
    </row>
    <row r="107" spans="1:32" s="272" customFormat="1" x14ac:dyDescent="0.25">
      <c r="A107" s="251">
        <v>6</v>
      </c>
      <c r="B107" s="268" t="s">
        <v>119</v>
      </c>
      <c r="C107" s="252" t="s">
        <v>16</v>
      </c>
      <c r="D107" s="253">
        <v>109</v>
      </c>
      <c r="E107" s="251">
        <v>56</v>
      </c>
      <c r="F107" s="254">
        <v>4</v>
      </c>
      <c r="G107" s="269"/>
      <c r="H107" s="253">
        <v>67</v>
      </c>
      <c r="I107" s="254">
        <v>35</v>
      </c>
      <c r="J107" s="198">
        <v>3</v>
      </c>
      <c r="K107" s="255"/>
      <c r="L107" s="256">
        <v>62</v>
      </c>
      <c r="M107" s="251">
        <v>26</v>
      </c>
      <c r="N107" s="254">
        <v>2</v>
      </c>
      <c r="O107" s="270"/>
      <c r="P107" s="253">
        <v>87</v>
      </c>
      <c r="Q107" s="251">
        <v>48</v>
      </c>
      <c r="R107" s="254">
        <v>3</v>
      </c>
      <c r="S107" s="270"/>
      <c r="T107" s="253">
        <v>91</v>
      </c>
      <c r="U107" s="251">
        <v>40</v>
      </c>
      <c r="V107" s="254">
        <v>3</v>
      </c>
      <c r="W107" s="269"/>
      <c r="X107" s="387"/>
      <c r="Y107" s="388"/>
      <c r="Z107" s="388"/>
      <c r="AA107" s="253">
        <f>D107+H107+L107+P107+T107+X107</f>
        <v>416</v>
      </c>
      <c r="AB107" s="251">
        <f>E107+I107+M107+Q107+U107+Y107</f>
        <v>205</v>
      </c>
      <c r="AC107" s="253">
        <f>17-8</f>
        <v>9</v>
      </c>
      <c r="AD107" s="254">
        <f>13-5</f>
        <v>8</v>
      </c>
      <c r="AE107" s="251">
        <f>F107+J107+N107+R107+V107+Z107</f>
        <v>15</v>
      </c>
      <c r="AF107" s="148"/>
    </row>
    <row r="108" spans="1:32" s="272" customFormat="1" ht="30" x14ac:dyDescent="0.25">
      <c r="A108" s="251">
        <v>7</v>
      </c>
      <c r="B108" s="268" t="s">
        <v>119</v>
      </c>
      <c r="C108" s="252" t="s">
        <v>17</v>
      </c>
      <c r="D108" s="253">
        <v>83</v>
      </c>
      <c r="E108" s="251">
        <v>46</v>
      </c>
      <c r="F108" s="254">
        <v>3</v>
      </c>
      <c r="G108" s="269"/>
      <c r="H108" s="253">
        <v>53</v>
      </c>
      <c r="I108" s="254">
        <v>27</v>
      </c>
      <c r="J108" s="198">
        <v>2</v>
      </c>
      <c r="K108" s="255"/>
      <c r="L108" s="256">
        <v>78</v>
      </c>
      <c r="M108" s="251">
        <v>30</v>
      </c>
      <c r="N108" s="254">
        <v>3</v>
      </c>
      <c r="O108" s="270"/>
      <c r="P108" s="253">
        <v>57</v>
      </c>
      <c r="Q108" s="251">
        <v>17</v>
      </c>
      <c r="R108" s="254">
        <v>2</v>
      </c>
      <c r="S108" s="269"/>
      <c r="T108" s="253">
        <v>68</v>
      </c>
      <c r="U108" s="251">
        <v>37</v>
      </c>
      <c r="V108" s="254">
        <v>2</v>
      </c>
      <c r="W108" s="269"/>
      <c r="X108" s="383"/>
      <c r="Y108" s="384"/>
      <c r="Z108" s="385"/>
      <c r="AA108" s="274" t="e">
        <f>D108+H108+L108+P108+T108+X108+#REF!</f>
        <v>#REF!</v>
      </c>
      <c r="AB108" s="251" t="e">
        <f>E108+I108+M108+Q108+U108+Y108+#REF!</f>
        <v>#REF!</v>
      </c>
      <c r="AC108" s="276">
        <f>42-7</f>
        <v>35</v>
      </c>
      <c r="AD108" s="193">
        <f>22-6</f>
        <v>16</v>
      </c>
      <c r="AE108" s="275" t="e">
        <f>F108+J108+N108+R108+V108+Z108+#REF!</f>
        <v>#REF!</v>
      </c>
      <c r="AF108" s="148"/>
    </row>
    <row r="109" spans="1:32" s="272" customFormat="1" x14ac:dyDescent="0.25">
      <c r="A109" s="251">
        <v>8</v>
      </c>
      <c r="B109" s="268" t="s">
        <v>119</v>
      </c>
      <c r="C109" s="260" t="s">
        <v>18</v>
      </c>
      <c r="D109" s="253">
        <v>102</v>
      </c>
      <c r="E109" s="251">
        <v>48</v>
      </c>
      <c r="F109" s="254">
        <v>4</v>
      </c>
      <c r="G109" s="269"/>
      <c r="H109" s="253">
        <v>97</v>
      </c>
      <c r="I109" s="254">
        <v>39</v>
      </c>
      <c r="J109" s="198">
        <v>4</v>
      </c>
      <c r="K109" s="255"/>
      <c r="L109" s="256">
        <v>95</v>
      </c>
      <c r="M109" s="251">
        <v>48</v>
      </c>
      <c r="N109" s="254">
        <v>4</v>
      </c>
      <c r="O109" s="270"/>
      <c r="P109" s="253">
        <v>104</v>
      </c>
      <c r="Q109" s="251">
        <v>62</v>
      </c>
      <c r="R109" s="254">
        <v>4</v>
      </c>
      <c r="S109" s="259"/>
      <c r="T109" s="253">
        <v>92</v>
      </c>
      <c r="U109" s="251">
        <v>38</v>
      </c>
      <c r="V109" s="254">
        <v>4</v>
      </c>
      <c r="W109" s="269"/>
      <c r="X109" s="380"/>
      <c r="Y109" s="381"/>
      <c r="Z109" s="381"/>
      <c r="AA109" s="253">
        <f>D109+H109+L109+P109+T109+X109</f>
        <v>490</v>
      </c>
      <c r="AB109" s="251">
        <f>E109+I109+M109+Q109+U109+Y109</f>
        <v>235</v>
      </c>
      <c r="AC109" s="253">
        <f>54-19</f>
        <v>35</v>
      </c>
      <c r="AD109" s="254">
        <f>26-9</f>
        <v>17</v>
      </c>
      <c r="AE109" s="251">
        <f>F109+J109+N109+R109+V109+Z109</f>
        <v>20</v>
      </c>
      <c r="AF109" s="148"/>
    </row>
    <row r="110" spans="1:32" s="272" customFormat="1" ht="28.2" x14ac:dyDescent="0.25">
      <c r="A110" s="251">
        <v>9</v>
      </c>
      <c r="B110" s="268" t="s">
        <v>119</v>
      </c>
      <c r="C110" s="252" t="s">
        <v>84</v>
      </c>
      <c r="D110" s="253">
        <v>61</v>
      </c>
      <c r="E110" s="251">
        <v>36</v>
      </c>
      <c r="F110" s="254">
        <v>2</v>
      </c>
      <c r="G110" s="269"/>
      <c r="H110" s="253">
        <v>91</v>
      </c>
      <c r="I110" s="254">
        <v>38</v>
      </c>
      <c r="J110" s="198">
        <v>3</v>
      </c>
      <c r="K110" s="269"/>
      <c r="L110" s="256">
        <v>84</v>
      </c>
      <c r="M110" s="251">
        <v>47</v>
      </c>
      <c r="N110" s="254">
        <v>3</v>
      </c>
      <c r="O110" s="269"/>
      <c r="P110" s="253">
        <v>84</v>
      </c>
      <c r="Q110" s="251">
        <v>43</v>
      </c>
      <c r="R110" s="254">
        <v>3</v>
      </c>
      <c r="S110" s="259"/>
      <c r="T110" s="253">
        <v>70</v>
      </c>
      <c r="U110" s="251">
        <v>31</v>
      </c>
      <c r="V110" s="254">
        <v>3</v>
      </c>
      <c r="W110" s="269"/>
      <c r="X110" s="383"/>
      <c r="Y110" s="384"/>
      <c r="Z110" s="384"/>
      <c r="AA110" s="253">
        <f>D110+H110+L110+P110+T110+X110</f>
        <v>390</v>
      </c>
      <c r="AB110" s="251">
        <f>E110+I110+M110+Q110+U110+Y110</f>
        <v>195</v>
      </c>
      <c r="AC110" s="276">
        <f>27-10</f>
        <v>17</v>
      </c>
      <c r="AD110" s="193">
        <f>7-2</f>
        <v>5</v>
      </c>
      <c r="AE110" s="251">
        <f>F110+J110+N110+R110+V110+Z110</f>
        <v>14</v>
      </c>
      <c r="AF110" s="148"/>
    </row>
    <row r="111" spans="1:32" s="272" customFormat="1" ht="15.6" x14ac:dyDescent="0.25">
      <c r="A111" s="251">
        <v>10</v>
      </c>
      <c r="B111" s="268" t="s">
        <v>119</v>
      </c>
      <c r="C111" s="277" t="s">
        <v>20</v>
      </c>
      <c r="D111" s="349">
        <v>105</v>
      </c>
      <c r="E111" s="251">
        <v>47</v>
      </c>
      <c r="F111" s="254">
        <v>4</v>
      </c>
      <c r="G111" s="269"/>
      <c r="H111" s="253">
        <v>116</v>
      </c>
      <c r="I111" s="254">
        <v>53</v>
      </c>
      <c r="J111" s="198">
        <v>4</v>
      </c>
      <c r="K111" s="269"/>
      <c r="L111" s="256">
        <v>111</v>
      </c>
      <c r="M111" s="251">
        <v>55</v>
      </c>
      <c r="N111" s="254">
        <v>4</v>
      </c>
      <c r="O111" s="269"/>
      <c r="P111" s="253">
        <v>75</v>
      </c>
      <c r="Q111" s="251">
        <v>48</v>
      </c>
      <c r="R111" s="254">
        <v>3</v>
      </c>
      <c r="S111" s="269"/>
      <c r="T111" s="253">
        <v>100</v>
      </c>
      <c r="U111" s="251">
        <v>43</v>
      </c>
      <c r="V111" s="254">
        <v>4</v>
      </c>
      <c r="W111" s="269"/>
      <c r="X111" s="383"/>
      <c r="Y111" s="384"/>
      <c r="Z111" s="384"/>
      <c r="AA111" s="253">
        <f>D111+H111+L111+P111+T111+X111</f>
        <v>507</v>
      </c>
      <c r="AB111" s="251">
        <f>E111+I111+M111+Q111+U111+Y111</f>
        <v>246</v>
      </c>
      <c r="AC111" s="253">
        <f>18-5</f>
        <v>13</v>
      </c>
      <c r="AD111" s="254">
        <f>6-1</f>
        <v>5</v>
      </c>
      <c r="AE111" s="251">
        <f>F111+J111+N111+R111+V111+Z111</f>
        <v>19</v>
      </c>
      <c r="AF111" s="148"/>
    </row>
    <row r="112" spans="1:32" s="272" customFormat="1" ht="15.6" x14ac:dyDescent="0.25">
      <c r="A112" s="268">
        <v>11</v>
      </c>
      <c r="B112" s="268" t="s">
        <v>119</v>
      </c>
      <c r="C112" s="299" t="s">
        <v>21</v>
      </c>
      <c r="D112" s="219">
        <v>100</v>
      </c>
      <c r="E112" s="268">
        <v>43</v>
      </c>
      <c r="F112" s="198">
        <v>4</v>
      </c>
      <c r="G112" s="300"/>
      <c r="H112" s="271">
        <v>119</v>
      </c>
      <c r="I112" s="198">
        <v>58</v>
      </c>
      <c r="J112" s="198">
        <v>4</v>
      </c>
      <c r="K112" s="300"/>
      <c r="L112" s="301">
        <v>116</v>
      </c>
      <c r="M112" s="268">
        <v>45</v>
      </c>
      <c r="N112" s="198">
        <v>4</v>
      </c>
      <c r="O112" s="300"/>
      <c r="P112" s="271">
        <v>112</v>
      </c>
      <c r="Q112" s="268">
        <v>48</v>
      </c>
      <c r="R112" s="198">
        <v>4</v>
      </c>
      <c r="S112" s="255"/>
      <c r="T112" s="271">
        <v>115</v>
      </c>
      <c r="U112" s="268">
        <v>42</v>
      </c>
      <c r="V112" s="198">
        <v>4</v>
      </c>
      <c r="W112" s="300"/>
      <c r="X112" s="383"/>
      <c r="Y112" s="384"/>
      <c r="Z112" s="384"/>
      <c r="AA112" s="271">
        <f>D112+H112+L112+P112+T112+X112</f>
        <v>562</v>
      </c>
      <c r="AB112" s="268">
        <f>E112+I112+M112+Q112+U112+Y112</f>
        <v>236</v>
      </c>
      <c r="AC112" s="276">
        <f>58-15</f>
        <v>43</v>
      </c>
      <c r="AD112" s="193">
        <f>27-10</f>
        <v>17</v>
      </c>
      <c r="AE112" s="268">
        <f>F112+J112+N112+R112+V112+Z112</f>
        <v>20</v>
      </c>
      <c r="AF112" s="148"/>
    </row>
    <row r="113" spans="1:32" s="282" customFormat="1" ht="31.2" x14ac:dyDescent="0.25">
      <c r="A113" s="253"/>
      <c r="B113" s="253" t="s">
        <v>119</v>
      </c>
      <c r="C113" s="302" t="s">
        <v>53</v>
      </c>
      <c r="D113" s="274">
        <f>SUM(D102:D112)</f>
        <v>1104</v>
      </c>
      <c r="E113" s="274">
        <f>SUM(E102:E112)</f>
        <v>516</v>
      </c>
      <c r="F113" s="361">
        <f>SUM(F102:F112)</f>
        <v>41</v>
      </c>
      <c r="G113" s="362"/>
      <c r="H113" s="274">
        <f>SUM(H102:H112)</f>
        <v>1155</v>
      </c>
      <c r="I113" s="346">
        <f>SUM(I102:I112)</f>
        <v>553</v>
      </c>
      <c r="J113" s="361">
        <f>SUM(J102:J112)</f>
        <v>43</v>
      </c>
      <c r="K113" s="362"/>
      <c r="L113" s="347">
        <f>SUM(L102:L112)</f>
        <v>1077</v>
      </c>
      <c r="M113" s="274">
        <f>SUM(M102:M112)</f>
        <v>487</v>
      </c>
      <c r="N113" s="361">
        <f>SUM(N102:N112)</f>
        <v>40</v>
      </c>
      <c r="O113" s="362"/>
      <c r="P113" s="274">
        <f>SUM(P102:P112)</f>
        <v>1087</v>
      </c>
      <c r="Q113" s="274">
        <f>SUM(Q102:Q112)</f>
        <v>538</v>
      </c>
      <c r="R113" s="361">
        <f>SUM(R102:R112)</f>
        <v>40</v>
      </c>
      <c r="S113" s="362"/>
      <c r="T113" s="274">
        <f>SUM(T102:T112)</f>
        <v>1116</v>
      </c>
      <c r="U113" s="274">
        <f>SUM(U102:U112)</f>
        <v>539</v>
      </c>
      <c r="V113" s="361">
        <f>SUM(V102:V112)</f>
        <v>41</v>
      </c>
      <c r="W113" s="362"/>
      <c r="X113" s="274">
        <f>X104</f>
        <v>87</v>
      </c>
      <c r="Y113" s="274">
        <f t="shared" ref="Y113:Z113" si="10">Y104</f>
        <v>47</v>
      </c>
      <c r="Z113" s="274">
        <f t="shared" si="10"/>
        <v>3</v>
      </c>
      <c r="AA113" s="274" t="e">
        <f>SUM(AA102:AA112)</f>
        <v>#REF!</v>
      </c>
      <c r="AB113" s="274" t="e">
        <f t="shared" ref="AB113:AE113" si="11">SUM(AB102:AB112)</f>
        <v>#REF!</v>
      </c>
      <c r="AC113" s="274">
        <f t="shared" si="11"/>
        <v>324</v>
      </c>
      <c r="AD113" s="274">
        <f t="shared" si="11"/>
        <v>159</v>
      </c>
      <c r="AE113" s="274" t="e">
        <f t="shared" si="11"/>
        <v>#REF!</v>
      </c>
      <c r="AF113" s="281"/>
    </row>
    <row r="114" spans="1:32" s="272" customFormat="1" x14ac:dyDescent="0.25">
      <c r="A114" s="283" t="s">
        <v>114</v>
      </c>
      <c r="B114" s="148"/>
      <c r="C114" s="284"/>
      <c r="D114" s="148"/>
      <c r="E114" s="148"/>
      <c r="F114" s="285"/>
      <c r="G114" s="286"/>
      <c r="H114" s="148"/>
      <c r="I114" s="148"/>
      <c r="J114" s="148"/>
      <c r="K114" s="148"/>
      <c r="L114" s="148"/>
      <c r="M114" s="148"/>
      <c r="N114" s="148"/>
      <c r="O114" s="287"/>
      <c r="P114" s="148"/>
      <c r="Q114" s="148"/>
      <c r="R114" s="148"/>
      <c r="S114" s="148"/>
      <c r="T114" s="148"/>
      <c r="U114" s="148"/>
      <c r="V114" s="285"/>
      <c r="W114" s="286"/>
      <c r="X114" s="148"/>
      <c r="Y114" s="148"/>
      <c r="Z114" s="148"/>
      <c r="AA114" s="288"/>
      <c r="AB114" s="148"/>
      <c r="AC114" s="148"/>
      <c r="AD114" s="148"/>
      <c r="AE114" s="148"/>
      <c r="AF114" s="148"/>
    </row>
    <row r="115" spans="1:32" s="272" customFormat="1" ht="30" x14ac:dyDescent="0.25">
      <c r="A115" s="251">
        <v>1</v>
      </c>
      <c r="B115" s="268" t="s">
        <v>122</v>
      </c>
      <c r="C115" s="252" t="s">
        <v>11</v>
      </c>
      <c r="D115" s="253">
        <v>142</v>
      </c>
      <c r="E115" s="251">
        <v>68</v>
      </c>
      <c r="F115" s="254">
        <v>5</v>
      </c>
      <c r="G115" s="269"/>
      <c r="H115" s="253">
        <v>137</v>
      </c>
      <c r="I115" s="254">
        <v>64</v>
      </c>
      <c r="J115" s="254">
        <v>5</v>
      </c>
      <c r="K115" s="269"/>
      <c r="L115" s="256">
        <v>140</v>
      </c>
      <c r="M115" s="251">
        <v>74</v>
      </c>
      <c r="N115" s="254">
        <v>5</v>
      </c>
      <c r="O115" s="270"/>
      <c r="P115" s="253">
        <v>141</v>
      </c>
      <c r="Q115" s="251">
        <v>65</v>
      </c>
      <c r="R115" s="254">
        <v>5</v>
      </c>
      <c r="S115" s="269"/>
      <c r="T115" s="253">
        <v>146</v>
      </c>
      <c r="U115" s="251">
        <v>76</v>
      </c>
      <c r="V115" s="254">
        <v>5</v>
      </c>
      <c r="W115" s="269"/>
      <c r="X115" s="320">
        <v>0</v>
      </c>
      <c r="Y115" s="320">
        <v>0</v>
      </c>
      <c r="Z115" s="320">
        <v>0</v>
      </c>
      <c r="AA115" s="253">
        <f>D115+H115+L115+P115+T115</f>
        <v>706</v>
      </c>
      <c r="AB115" s="251">
        <f>E115+I115+M115+Q115+U115+Y115</f>
        <v>347</v>
      </c>
      <c r="AC115" s="271">
        <f>7+1+6+5</f>
        <v>19</v>
      </c>
      <c r="AD115" s="198">
        <f>2+1+2+3</f>
        <v>8</v>
      </c>
      <c r="AE115" s="251">
        <f>F115+J115+N115+R115+V115+Z115</f>
        <v>25</v>
      </c>
      <c r="AF115" s="148"/>
    </row>
    <row r="116" spans="1:32" s="272" customFormat="1" ht="41.4" x14ac:dyDescent="0.25">
      <c r="A116" s="251">
        <v>2</v>
      </c>
      <c r="B116" s="268" t="s">
        <v>122</v>
      </c>
      <c r="C116" s="252" t="s">
        <v>85</v>
      </c>
      <c r="D116" s="253">
        <v>129</v>
      </c>
      <c r="E116" s="251">
        <v>60</v>
      </c>
      <c r="F116" s="254">
        <v>5</v>
      </c>
      <c r="G116" s="269"/>
      <c r="H116" s="253">
        <v>117</v>
      </c>
      <c r="I116" s="254">
        <v>54</v>
      </c>
      <c r="J116" s="193">
        <v>4</v>
      </c>
      <c r="K116" s="273"/>
      <c r="L116" s="256">
        <v>123</v>
      </c>
      <c r="M116" s="251">
        <v>61</v>
      </c>
      <c r="N116" s="254">
        <v>5</v>
      </c>
      <c r="O116" s="270"/>
      <c r="P116" s="253">
        <v>109</v>
      </c>
      <c r="Q116" s="251">
        <v>43</v>
      </c>
      <c r="R116" s="254">
        <v>4</v>
      </c>
      <c r="S116" s="273"/>
      <c r="T116" s="253">
        <v>119</v>
      </c>
      <c r="U116" s="251">
        <v>42</v>
      </c>
      <c r="V116" s="254">
        <v>5</v>
      </c>
      <c r="W116" s="269"/>
      <c r="X116" s="320">
        <v>0</v>
      </c>
      <c r="Y116" s="320">
        <v>0</v>
      </c>
      <c r="Z116" s="320">
        <v>0</v>
      </c>
      <c r="AA116" s="253">
        <f>D116+H116+L116+P116+T116+X116</f>
        <v>597</v>
      </c>
      <c r="AB116" s="251">
        <f>E116+I116+M116+Q116+U116+Y116</f>
        <v>260</v>
      </c>
      <c r="AC116" s="253">
        <f>12+6+3+3+5</f>
        <v>29</v>
      </c>
      <c r="AD116" s="254">
        <f>6+3+1+3</f>
        <v>13</v>
      </c>
      <c r="AE116" s="251">
        <f>F116+J116+N116+R116+V116+Z116</f>
        <v>23</v>
      </c>
      <c r="AF116" s="148"/>
    </row>
    <row r="117" spans="1:32" s="272" customFormat="1" ht="45.6" x14ac:dyDescent="0.25">
      <c r="A117" s="251">
        <v>3</v>
      </c>
      <c r="B117" s="268" t="s">
        <v>122</v>
      </c>
      <c r="C117" s="252" t="s">
        <v>110</v>
      </c>
      <c r="D117" s="253">
        <v>53</v>
      </c>
      <c r="E117" s="251">
        <v>25</v>
      </c>
      <c r="F117" s="254">
        <v>2</v>
      </c>
      <c r="G117" s="269"/>
      <c r="H117" s="253">
        <v>88</v>
      </c>
      <c r="I117" s="254">
        <v>37</v>
      </c>
      <c r="J117" s="198">
        <v>3</v>
      </c>
      <c r="K117" s="269"/>
      <c r="L117" s="256">
        <v>91</v>
      </c>
      <c r="M117" s="251">
        <v>49</v>
      </c>
      <c r="N117" s="254">
        <v>4</v>
      </c>
      <c r="O117" s="270"/>
      <c r="P117" s="253">
        <v>67</v>
      </c>
      <c r="Q117" s="251">
        <v>25</v>
      </c>
      <c r="R117" s="254">
        <v>3</v>
      </c>
      <c r="S117" s="270"/>
      <c r="T117" s="253">
        <v>74</v>
      </c>
      <c r="U117" s="251">
        <v>38</v>
      </c>
      <c r="V117" s="254">
        <v>3</v>
      </c>
      <c r="W117" s="269"/>
      <c r="X117" s="321">
        <v>83</v>
      </c>
      <c r="Y117" s="320">
        <v>44</v>
      </c>
      <c r="Z117" s="320">
        <v>3</v>
      </c>
      <c r="AA117" s="253">
        <f>D117+H117+L117+P117+T117+X117</f>
        <v>456</v>
      </c>
      <c r="AB117" s="251">
        <f>E117+I117+M117+Q117+U117+Y117</f>
        <v>218</v>
      </c>
      <c r="AC117" s="276">
        <f>11+8+7+8+10+3</f>
        <v>47</v>
      </c>
      <c r="AD117" s="193">
        <f>6+5+4+2+7+2</f>
        <v>26</v>
      </c>
      <c r="AE117" s="251">
        <f>F117+J117+N117+R117+V117+Z117</f>
        <v>18</v>
      </c>
      <c r="AF117" s="148"/>
    </row>
    <row r="118" spans="1:32" s="272" customFormat="1" x14ac:dyDescent="0.25">
      <c r="A118" s="251">
        <v>4</v>
      </c>
      <c r="B118" s="268" t="s">
        <v>122</v>
      </c>
      <c r="C118" s="260" t="s">
        <v>14</v>
      </c>
      <c r="D118" s="253">
        <v>110</v>
      </c>
      <c r="E118" s="251">
        <v>46</v>
      </c>
      <c r="F118" s="254">
        <v>4</v>
      </c>
      <c r="G118" s="269"/>
      <c r="H118" s="253">
        <v>105</v>
      </c>
      <c r="I118" s="254">
        <v>47</v>
      </c>
      <c r="J118" s="198">
        <v>4</v>
      </c>
      <c r="K118" s="255"/>
      <c r="L118" s="256">
        <v>113</v>
      </c>
      <c r="M118" s="251">
        <v>44</v>
      </c>
      <c r="N118" s="254">
        <v>4</v>
      </c>
      <c r="O118" s="270"/>
      <c r="P118" s="253">
        <v>99</v>
      </c>
      <c r="Q118" s="251">
        <v>40</v>
      </c>
      <c r="R118" s="254">
        <v>4</v>
      </c>
      <c r="S118" s="259"/>
      <c r="T118" s="253">
        <f>27+88</f>
        <v>115</v>
      </c>
      <c r="U118" s="251">
        <f>43+9</f>
        <v>52</v>
      </c>
      <c r="V118" s="254">
        <v>4</v>
      </c>
      <c r="W118" s="269"/>
      <c r="X118" s="320">
        <v>0</v>
      </c>
      <c r="Y118" s="320">
        <v>0</v>
      </c>
      <c r="Z118" s="320">
        <v>0</v>
      </c>
      <c r="AA118" s="253">
        <f>D118+H118+L118+P118+T118+X118</f>
        <v>542</v>
      </c>
      <c r="AB118" s="251">
        <f>E118+I118+M118+Q118+U118+Y118</f>
        <v>229</v>
      </c>
      <c r="AC118" s="253">
        <f>16+12+9+13+3+6</f>
        <v>59</v>
      </c>
      <c r="AD118" s="254">
        <f>6+10+5+6+4</f>
        <v>31</v>
      </c>
      <c r="AE118" s="251">
        <f>F118+J118+N118+R118+V118+Z118</f>
        <v>20</v>
      </c>
      <c r="AF118" s="148"/>
    </row>
    <row r="119" spans="1:32" s="272" customFormat="1" x14ac:dyDescent="0.25">
      <c r="A119" s="251">
        <v>5</v>
      </c>
      <c r="B119" s="268" t="s">
        <v>122</v>
      </c>
      <c r="C119" s="260" t="s">
        <v>15</v>
      </c>
      <c r="D119" s="349">
        <v>100</v>
      </c>
      <c r="E119" s="251">
        <v>48</v>
      </c>
      <c r="F119" s="254">
        <v>4</v>
      </c>
      <c r="G119" s="269"/>
      <c r="H119" s="253">
        <v>103</v>
      </c>
      <c r="I119" s="254">
        <v>41</v>
      </c>
      <c r="J119" s="198">
        <v>4</v>
      </c>
      <c r="K119" s="255"/>
      <c r="L119" s="256">
        <v>125</v>
      </c>
      <c r="M119" s="251">
        <v>67</v>
      </c>
      <c r="N119" s="254">
        <v>5</v>
      </c>
      <c r="O119" s="270"/>
      <c r="P119" s="253">
        <v>109</v>
      </c>
      <c r="Q119" s="251">
        <v>57</v>
      </c>
      <c r="R119" s="254">
        <v>4</v>
      </c>
      <c r="S119" s="259"/>
      <c r="T119" s="253">
        <v>108</v>
      </c>
      <c r="U119" s="251">
        <v>62</v>
      </c>
      <c r="V119" s="254">
        <v>4</v>
      </c>
      <c r="W119" s="269"/>
      <c r="X119" s="320">
        <v>0</v>
      </c>
      <c r="Y119" s="320">
        <v>0</v>
      </c>
      <c r="Z119" s="320">
        <v>0</v>
      </c>
      <c r="AA119" s="253">
        <f>D119+H119+L119+P119+T119+X119</f>
        <v>545</v>
      </c>
      <c r="AB119" s="251">
        <f>E119+I119+M119+Q119+U119+Y119</f>
        <v>275</v>
      </c>
      <c r="AC119" s="276">
        <f>13+7+6+5+1</f>
        <v>32</v>
      </c>
      <c r="AD119" s="193">
        <f>6+4+3+2+1</f>
        <v>16</v>
      </c>
      <c r="AE119" s="251">
        <f>F119+J119+N119+R119+V119+Z119</f>
        <v>21</v>
      </c>
      <c r="AF119" s="148"/>
    </row>
    <row r="120" spans="1:32" s="272" customFormat="1" x14ac:dyDescent="0.25">
      <c r="A120" s="251">
        <v>6</v>
      </c>
      <c r="B120" s="268" t="s">
        <v>122</v>
      </c>
      <c r="C120" s="252" t="s">
        <v>16</v>
      </c>
      <c r="D120" s="253">
        <v>77</v>
      </c>
      <c r="E120" s="251">
        <v>31</v>
      </c>
      <c r="F120" s="254">
        <v>3</v>
      </c>
      <c r="G120" s="269"/>
      <c r="H120" s="253">
        <v>110</v>
      </c>
      <c r="I120" s="254">
        <v>55</v>
      </c>
      <c r="J120" s="198">
        <v>4</v>
      </c>
      <c r="K120" s="255"/>
      <c r="L120" s="256">
        <v>61</v>
      </c>
      <c r="M120" s="251">
        <v>33</v>
      </c>
      <c r="N120" s="254">
        <v>2</v>
      </c>
      <c r="O120" s="270"/>
      <c r="P120" s="253">
        <v>62</v>
      </c>
      <c r="Q120" s="251">
        <v>26</v>
      </c>
      <c r="R120" s="254">
        <v>2</v>
      </c>
      <c r="S120" s="270"/>
      <c r="T120" s="253">
        <v>83</v>
      </c>
      <c r="U120" s="251">
        <v>48</v>
      </c>
      <c r="V120" s="254">
        <v>3</v>
      </c>
      <c r="W120" s="269"/>
      <c r="X120" s="320">
        <v>0</v>
      </c>
      <c r="Y120" s="320">
        <v>0</v>
      </c>
      <c r="Z120" s="320">
        <v>0</v>
      </c>
      <c r="AA120" s="253">
        <f>D120+H120+L120+P120+T120+X120</f>
        <v>393</v>
      </c>
      <c r="AB120" s="251">
        <f>E120+I120+M120+Q120+U120+Y120</f>
        <v>193</v>
      </c>
      <c r="AC120" s="253">
        <f>1+1+1+1+5</f>
        <v>9</v>
      </c>
      <c r="AD120" s="254">
        <f>1+1+5</f>
        <v>7</v>
      </c>
      <c r="AE120" s="251">
        <f>F120+J120+N120+R120+V120+Z120</f>
        <v>14</v>
      </c>
      <c r="AF120" s="148"/>
    </row>
    <row r="121" spans="1:32" s="272" customFormat="1" ht="30" x14ac:dyDescent="0.25">
      <c r="A121" s="251">
        <v>7</v>
      </c>
      <c r="B121" s="268" t="s">
        <v>122</v>
      </c>
      <c r="C121" s="252" t="s">
        <v>17</v>
      </c>
      <c r="D121" s="253">
        <v>92</v>
      </c>
      <c r="E121" s="251">
        <v>40</v>
      </c>
      <c r="F121" s="254">
        <v>3</v>
      </c>
      <c r="G121" s="269"/>
      <c r="H121" s="253">
        <v>79</v>
      </c>
      <c r="I121" s="254">
        <v>41</v>
      </c>
      <c r="J121" s="198">
        <v>3</v>
      </c>
      <c r="K121" s="255"/>
      <c r="L121" s="256">
        <v>50</v>
      </c>
      <c r="M121" s="251">
        <v>28</v>
      </c>
      <c r="N121" s="254">
        <v>2</v>
      </c>
      <c r="O121" s="270"/>
      <c r="P121" s="253">
        <v>73</v>
      </c>
      <c r="Q121" s="251">
        <v>27</v>
      </c>
      <c r="R121" s="254">
        <v>3</v>
      </c>
      <c r="S121" s="269"/>
      <c r="T121" s="253">
        <v>54</v>
      </c>
      <c r="U121" s="251">
        <v>16</v>
      </c>
      <c r="V121" s="254">
        <v>2</v>
      </c>
      <c r="W121" s="269"/>
      <c r="X121" s="320">
        <v>0</v>
      </c>
      <c r="Y121" s="320">
        <v>0</v>
      </c>
      <c r="Z121" s="320">
        <v>0</v>
      </c>
      <c r="AA121" s="274" t="e">
        <f>D121+H121+L121+P121+T121+X121+#REF!</f>
        <v>#REF!</v>
      </c>
      <c r="AB121" s="251" t="e">
        <f>E121+I121+M121+Q121+U121+Y121+#REF!</f>
        <v>#REF!</v>
      </c>
      <c r="AC121" s="276">
        <f>13+12+3+1+5</f>
        <v>34</v>
      </c>
      <c r="AD121" s="193">
        <f>7+6+2+2</f>
        <v>17</v>
      </c>
      <c r="AE121" s="275" t="e">
        <f>F121+J121+N121+R121+V121+Z121+#REF!</f>
        <v>#REF!</v>
      </c>
      <c r="AF121" s="148"/>
    </row>
    <row r="122" spans="1:32" s="272" customFormat="1" x14ac:dyDescent="0.25">
      <c r="A122" s="251">
        <v>8</v>
      </c>
      <c r="B122" s="268" t="s">
        <v>122</v>
      </c>
      <c r="C122" s="260" t="s">
        <v>18</v>
      </c>
      <c r="D122" s="253">
        <v>111</v>
      </c>
      <c r="E122" s="251">
        <v>53</v>
      </c>
      <c r="F122" s="254">
        <v>4</v>
      </c>
      <c r="G122" s="269"/>
      <c r="H122" s="253">
        <v>100</v>
      </c>
      <c r="I122" s="254">
        <v>47</v>
      </c>
      <c r="J122" s="198">
        <v>4</v>
      </c>
      <c r="K122" s="255"/>
      <c r="L122" s="256">
        <v>95</v>
      </c>
      <c r="M122" s="251">
        <v>39</v>
      </c>
      <c r="N122" s="254">
        <v>4</v>
      </c>
      <c r="O122" s="270"/>
      <c r="P122" s="253">
        <v>88</v>
      </c>
      <c r="Q122" s="251">
        <v>44</v>
      </c>
      <c r="R122" s="254">
        <v>4</v>
      </c>
      <c r="S122" s="259"/>
      <c r="T122" s="253">
        <v>103</v>
      </c>
      <c r="U122" s="251">
        <v>62</v>
      </c>
      <c r="V122" s="254">
        <v>4</v>
      </c>
      <c r="W122" s="269"/>
      <c r="X122" s="320">
        <v>0</v>
      </c>
      <c r="Y122" s="320">
        <v>0</v>
      </c>
      <c r="Z122" s="320">
        <v>0</v>
      </c>
      <c r="AA122" s="253">
        <f>D122+H122+L122+P122+T122+X122</f>
        <v>497</v>
      </c>
      <c r="AB122" s="251">
        <f>E122+I122+M122+Q122+U122+Y122</f>
        <v>245</v>
      </c>
      <c r="AC122" s="253">
        <f>3+6+8+9+2</f>
        <v>28</v>
      </c>
      <c r="AD122" s="254">
        <f>1+3+3+6+1</f>
        <v>14</v>
      </c>
      <c r="AE122" s="251">
        <f>F122+J122+N122+R122+V122+Z122</f>
        <v>20</v>
      </c>
      <c r="AF122" s="148"/>
    </row>
    <row r="123" spans="1:32" s="272" customFormat="1" ht="28.2" x14ac:dyDescent="0.25">
      <c r="A123" s="251">
        <v>9</v>
      </c>
      <c r="B123" s="268" t="s">
        <v>122</v>
      </c>
      <c r="C123" s="252" t="s">
        <v>84</v>
      </c>
      <c r="D123" s="253">
        <v>89</v>
      </c>
      <c r="E123" s="251">
        <v>40</v>
      </c>
      <c r="F123" s="254">
        <v>3</v>
      </c>
      <c r="G123" s="269"/>
      <c r="H123" s="253">
        <v>62</v>
      </c>
      <c r="I123" s="254">
        <v>36</v>
      </c>
      <c r="J123" s="198">
        <v>2</v>
      </c>
      <c r="K123" s="269"/>
      <c r="L123" s="256">
        <v>91</v>
      </c>
      <c r="M123" s="251">
        <v>38</v>
      </c>
      <c r="N123" s="254">
        <v>3</v>
      </c>
      <c r="O123" s="269"/>
      <c r="P123" s="253">
        <v>80</v>
      </c>
      <c r="Q123" s="251">
        <v>45</v>
      </c>
      <c r="R123" s="254">
        <v>3</v>
      </c>
      <c r="S123" s="259"/>
      <c r="T123" s="253">
        <v>77</v>
      </c>
      <c r="U123" s="251">
        <v>40</v>
      </c>
      <c r="V123" s="254">
        <v>3</v>
      </c>
      <c r="W123" s="269"/>
      <c r="X123" s="320">
        <v>0</v>
      </c>
      <c r="Y123" s="320">
        <v>0</v>
      </c>
      <c r="Z123" s="320">
        <v>0</v>
      </c>
      <c r="AA123" s="253">
        <f>D123+H123+L123+P123+T123+X123</f>
        <v>399</v>
      </c>
      <c r="AB123" s="251">
        <f>E123+I123+M123+Q123+U123+Y123</f>
        <v>199</v>
      </c>
      <c r="AC123" s="276">
        <f>3+2+4+6+1</f>
        <v>16</v>
      </c>
      <c r="AD123" s="193">
        <f>3+1+4</f>
        <v>8</v>
      </c>
      <c r="AE123" s="251">
        <f>F123+J123+N123+R123+V123+Z123</f>
        <v>14</v>
      </c>
      <c r="AF123" s="148"/>
    </row>
    <row r="124" spans="1:32" s="272" customFormat="1" ht="15.6" x14ac:dyDescent="0.25">
      <c r="A124" s="251">
        <v>10</v>
      </c>
      <c r="B124" s="268" t="s">
        <v>122</v>
      </c>
      <c r="C124" s="277" t="s">
        <v>20</v>
      </c>
      <c r="D124" s="322">
        <v>117</v>
      </c>
      <c r="E124" s="323">
        <v>53</v>
      </c>
      <c r="F124" s="324">
        <v>4</v>
      </c>
      <c r="G124" s="325"/>
      <c r="H124" s="326">
        <v>103</v>
      </c>
      <c r="I124" s="324">
        <v>47</v>
      </c>
      <c r="J124" s="327">
        <v>4</v>
      </c>
      <c r="K124" s="325"/>
      <c r="L124" s="328">
        <v>112</v>
      </c>
      <c r="M124" s="323">
        <v>52</v>
      </c>
      <c r="N124" s="324">
        <v>4</v>
      </c>
      <c r="O124" s="325"/>
      <c r="P124" s="326">
        <v>110</v>
      </c>
      <c r="Q124" s="323">
        <v>55</v>
      </c>
      <c r="R124" s="324">
        <v>4</v>
      </c>
      <c r="S124" s="325"/>
      <c r="T124" s="326">
        <v>72</v>
      </c>
      <c r="U124" s="323">
        <v>46</v>
      </c>
      <c r="V124" s="324">
        <v>3</v>
      </c>
      <c r="W124" s="325"/>
      <c r="X124" s="329">
        <v>0</v>
      </c>
      <c r="Y124" s="329">
        <v>0</v>
      </c>
      <c r="Z124" s="329">
        <v>0</v>
      </c>
      <c r="AA124" s="326">
        <f>D124+H124+L124+P124+T124+X124</f>
        <v>514</v>
      </c>
      <c r="AB124" s="323">
        <f>E124+I124+M124+Q124+U124+Y124</f>
        <v>253</v>
      </c>
      <c r="AC124" s="326">
        <f>2+2+3+3</f>
        <v>10</v>
      </c>
      <c r="AD124" s="324">
        <f>2+1</f>
        <v>3</v>
      </c>
      <c r="AE124" s="323">
        <f>F124+J124+N124+R124+V124+Z124</f>
        <v>19</v>
      </c>
      <c r="AF124" s="148"/>
    </row>
    <row r="125" spans="1:32" s="272" customFormat="1" ht="15.6" x14ac:dyDescent="0.25">
      <c r="A125" s="268">
        <v>11</v>
      </c>
      <c r="B125" s="268" t="s">
        <v>122</v>
      </c>
      <c r="C125" s="299" t="s">
        <v>21</v>
      </c>
      <c r="D125" s="219">
        <v>118</v>
      </c>
      <c r="E125" s="268">
        <v>57</v>
      </c>
      <c r="F125" s="198">
        <v>4</v>
      </c>
      <c r="G125" s="300"/>
      <c r="H125" s="271">
        <v>102</v>
      </c>
      <c r="I125" s="198">
        <v>43</v>
      </c>
      <c r="J125" s="198">
        <v>4</v>
      </c>
      <c r="K125" s="300"/>
      <c r="L125" s="301">
        <v>117</v>
      </c>
      <c r="M125" s="268">
        <v>59</v>
      </c>
      <c r="N125" s="198">
        <v>4</v>
      </c>
      <c r="O125" s="300"/>
      <c r="P125" s="271">
        <v>107</v>
      </c>
      <c r="Q125" s="268">
        <v>41</v>
      </c>
      <c r="R125" s="198">
        <v>4</v>
      </c>
      <c r="S125" s="255"/>
      <c r="T125" s="271">
        <v>109</v>
      </c>
      <c r="U125" s="268">
        <v>46</v>
      </c>
      <c r="V125" s="198">
        <v>4</v>
      </c>
      <c r="W125" s="300"/>
      <c r="X125" s="320">
        <v>0</v>
      </c>
      <c r="Y125" s="320">
        <v>0</v>
      </c>
      <c r="Z125" s="320">
        <v>0</v>
      </c>
      <c r="AA125" s="271">
        <f>D125+H125+L125+P125+T125+X125</f>
        <v>553</v>
      </c>
      <c r="AB125" s="268">
        <f>E125+I125+M125+Q125+U125+Y125</f>
        <v>246</v>
      </c>
      <c r="AC125" s="276">
        <f>4+7+6+10+6</f>
        <v>33</v>
      </c>
      <c r="AD125" s="193">
        <f>1+4+3+2+3</f>
        <v>13</v>
      </c>
      <c r="AE125" s="268">
        <f>F125+J125+N125+R125+V125+Z125</f>
        <v>20</v>
      </c>
      <c r="AF125" s="148"/>
    </row>
    <row r="126" spans="1:32" s="282" customFormat="1" ht="31.2" x14ac:dyDescent="0.25">
      <c r="A126" s="253"/>
      <c r="B126" s="253" t="s">
        <v>122</v>
      </c>
      <c r="C126" s="302" t="s">
        <v>53</v>
      </c>
      <c r="D126" s="274">
        <f>SUM(D115:D125)</f>
        <v>1138</v>
      </c>
      <c r="E126" s="274">
        <f>SUM(E115:E125)</f>
        <v>521</v>
      </c>
      <c r="F126" s="361">
        <f>SUM(F115:F125)</f>
        <v>41</v>
      </c>
      <c r="G126" s="362"/>
      <c r="H126" s="274">
        <f>SUM(H115:H125)</f>
        <v>1106</v>
      </c>
      <c r="I126" s="346">
        <f>SUM(I115:I125)</f>
        <v>512</v>
      </c>
      <c r="J126" s="361">
        <f>SUM(J115:J125)</f>
        <v>41</v>
      </c>
      <c r="K126" s="362"/>
      <c r="L126" s="347">
        <f>SUM(L115:L125)</f>
        <v>1118</v>
      </c>
      <c r="M126" s="274">
        <f>SUM(M115:M125)</f>
        <v>544</v>
      </c>
      <c r="N126" s="361">
        <f>SUM(N115:N125)</f>
        <v>42</v>
      </c>
      <c r="O126" s="362"/>
      <c r="P126" s="274">
        <f>SUM(P115:P125)</f>
        <v>1045</v>
      </c>
      <c r="Q126" s="274">
        <f>SUM(Q115:Q125)</f>
        <v>468</v>
      </c>
      <c r="R126" s="361">
        <f>SUM(R115:R125)</f>
        <v>40</v>
      </c>
      <c r="S126" s="362"/>
      <c r="T126" s="274">
        <f>SUM(T115:T125)</f>
        <v>1060</v>
      </c>
      <c r="U126" s="274">
        <f>SUM(U115:U125)</f>
        <v>528</v>
      </c>
      <c r="V126" s="361">
        <f>SUM(V115:V125)</f>
        <v>40</v>
      </c>
      <c r="W126" s="362"/>
      <c r="X126" s="274">
        <f>X117</f>
        <v>83</v>
      </c>
      <c r="Y126" s="274">
        <f t="shared" ref="Y126:Z126" si="12">Y117</f>
        <v>44</v>
      </c>
      <c r="Z126" s="274">
        <f t="shared" si="12"/>
        <v>3</v>
      </c>
      <c r="AA126" s="274" t="e">
        <f>SUM(AA115:AA125)</f>
        <v>#REF!</v>
      </c>
      <c r="AB126" s="274" t="e">
        <f t="shared" ref="AB126:AE126" si="13">SUM(AB115:AB125)</f>
        <v>#REF!</v>
      </c>
      <c r="AC126" s="274">
        <f t="shared" si="13"/>
        <v>316</v>
      </c>
      <c r="AD126" s="274">
        <f t="shared" si="13"/>
        <v>156</v>
      </c>
      <c r="AE126" s="274" t="e">
        <f t="shared" si="13"/>
        <v>#REF!</v>
      </c>
      <c r="AF126" s="281"/>
    </row>
    <row r="127" spans="1:32" s="272" customFormat="1" x14ac:dyDescent="0.25">
      <c r="A127" s="283" t="s">
        <v>114</v>
      </c>
      <c r="B127" s="148"/>
      <c r="C127" s="284"/>
      <c r="D127" s="148"/>
      <c r="E127" s="148"/>
      <c r="F127" s="285"/>
      <c r="G127" s="286"/>
      <c r="H127" s="148"/>
      <c r="I127" s="148"/>
      <c r="J127" s="148"/>
      <c r="K127" s="148"/>
      <c r="L127" s="148"/>
      <c r="M127" s="148"/>
      <c r="N127" s="148"/>
      <c r="O127" s="287"/>
      <c r="P127" s="148"/>
      <c r="Q127" s="148"/>
      <c r="R127" s="148"/>
      <c r="S127" s="148"/>
      <c r="T127" s="148"/>
      <c r="U127" s="148"/>
      <c r="V127" s="285"/>
      <c r="W127" s="286"/>
      <c r="X127" s="148"/>
      <c r="Y127" s="148"/>
      <c r="Z127" s="148"/>
      <c r="AA127" s="288"/>
      <c r="AB127" s="148"/>
      <c r="AC127" s="148"/>
      <c r="AD127" s="148"/>
      <c r="AE127" s="148"/>
      <c r="AF127" s="148"/>
    </row>
    <row r="129" spans="1:31" ht="30" x14ac:dyDescent="0.25">
      <c r="A129" s="251">
        <v>1</v>
      </c>
      <c r="B129" s="268" t="s">
        <v>123</v>
      </c>
      <c r="C129" s="252" t="s">
        <v>11</v>
      </c>
      <c r="D129" s="253">
        <v>143</v>
      </c>
      <c r="E129" s="251">
        <v>83</v>
      </c>
      <c r="F129" s="254">
        <v>5</v>
      </c>
      <c r="G129" s="269"/>
      <c r="H129" s="253">
        <v>141</v>
      </c>
      <c r="I129" s="254">
        <v>66</v>
      </c>
      <c r="J129" s="254">
        <v>5</v>
      </c>
      <c r="K129" s="269"/>
      <c r="L129" s="256">
        <v>136</v>
      </c>
      <c r="M129" s="251">
        <v>65</v>
      </c>
      <c r="N129" s="254">
        <v>5</v>
      </c>
      <c r="O129" s="270"/>
      <c r="P129" s="253">
        <v>138</v>
      </c>
      <c r="Q129" s="251">
        <v>73</v>
      </c>
      <c r="R129" s="254">
        <v>5</v>
      </c>
      <c r="S129" s="269"/>
      <c r="T129" s="253">
        <v>141</v>
      </c>
      <c r="U129" s="251">
        <v>65</v>
      </c>
      <c r="V129" s="254">
        <v>5</v>
      </c>
      <c r="W129" s="269"/>
      <c r="X129" s="320">
        <v>0</v>
      </c>
      <c r="Y129" s="320">
        <v>0</v>
      </c>
      <c r="Z129" s="320">
        <v>0</v>
      </c>
      <c r="AA129" s="253">
        <f>D129+H129+L129+P129+T129</f>
        <v>699</v>
      </c>
      <c r="AB129" s="251">
        <f>E129+I129+M129+Q129+U129+Y129</f>
        <v>352</v>
      </c>
      <c r="AC129" s="271">
        <v>15</v>
      </c>
      <c r="AD129" s="198">
        <v>8</v>
      </c>
      <c r="AE129" s="251">
        <f>F129+J129+N129+R129+V129+Z129</f>
        <v>25</v>
      </c>
    </row>
    <row r="130" spans="1:31" ht="41.4" x14ac:dyDescent="0.25">
      <c r="A130" s="251">
        <v>2</v>
      </c>
      <c r="B130" s="268" t="s">
        <v>123</v>
      </c>
      <c r="C130" s="252" t="s">
        <v>85</v>
      </c>
      <c r="D130" s="253">
        <v>121</v>
      </c>
      <c r="E130" s="251">
        <v>44</v>
      </c>
      <c r="F130" s="254">
        <v>4</v>
      </c>
      <c r="G130" s="269"/>
      <c r="H130" s="253">
        <v>126</v>
      </c>
      <c r="I130" s="254">
        <v>61</v>
      </c>
      <c r="J130" s="193">
        <v>5</v>
      </c>
      <c r="K130" s="273"/>
      <c r="L130" s="256">
        <v>115</v>
      </c>
      <c r="M130" s="251">
        <v>54</v>
      </c>
      <c r="N130" s="254">
        <v>4</v>
      </c>
      <c r="O130" s="270"/>
      <c r="P130" s="253">
        <v>119</v>
      </c>
      <c r="Q130" s="251">
        <v>60</v>
      </c>
      <c r="R130" s="254">
        <v>5</v>
      </c>
      <c r="S130" s="273"/>
      <c r="T130" s="253">
        <v>104</v>
      </c>
      <c r="U130" s="251">
        <v>39</v>
      </c>
      <c r="V130" s="254">
        <v>4</v>
      </c>
      <c r="W130" s="269"/>
      <c r="X130" s="320">
        <v>0</v>
      </c>
      <c r="Y130" s="320">
        <v>0</v>
      </c>
      <c r="Z130" s="320">
        <v>0</v>
      </c>
      <c r="AA130" s="253">
        <f>D130+H130+L130+P130+T130+X130</f>
        <v>585</v>
      </c>
      <c r="AB130" s="251">
        <f>E130+I130+M130+Q130+U130+Y130</f>
        <v>258</v>
      </c>
      <c r="AC130" s="253">
        <v>33</v>
      </c>
      <c r="AD130" s="254">
        <v>13</v>
      </c>
      <c r="AE130" s="251">
        <f>F130+J130+N130+R130+V130+Z130</f>
        <v>22</v>
      </c>
    </row>
    <row r="131" spans="1:31" ht="45.6" x14ac:dyDescent="0.25">
      <c r="A131" s="251">
        <v>3</v>
      </c>
      <c r="B131" s="268" t="s">
        <v>123</v>
      </c>
      <c r="C131" s="252" t="s">
        <v>110</v>
      </c>
      <c r="D131" s="253">
        <v>50</v>
      </c>
      <c r="E131" s="251">
        <v>32</v>
      </c>
      <c r="F131" s="254">
        <v>2</v>
      </c>
      <c r="G131" s="269"/>
      <c r="H131" s="253">
        <v>52</v>
      </c>
      <c r="I131" s="254">
        <v>25</v>
      </c>
      <c r="J131" s="198">
        <v>2</v>
      </c>
      <c r="K131" s="269"/>
      <c r="L131" s="256">
        <v>80</v>
      </c>
      <c r="M131" s="251">
        <v>33</v>
      </c>
      <c r="N131" s="254">
        <v>3</v>
      </c>
      <c r="O131" s="270"/>
      <c r="P131" s="253">
        <v>92</v>
      </c>
      <c r="Q131" s="251">
        <v>47</v>
      </c>
      <c r="R131" s="254">
        <v>4</v>
      </c>
      <c r="S131" s="270"/>
      <c r="T131" s="253">
        <v>66</v>
      </c>
      <c r="U131" s="251">
        <v>24</v>
      </c>
      <c r="V131" s="254">
        <v>3</v>
      </c>
      <c r="W131" s="269"/>
      <c r="X131" s="321">
        <v>72</v>
      </c>
      <c r="Y131" s="320">
        <v>34</v>
      </c>
      <c r="Z131" s="320">
        <v>3</v>
      </c>
      <c r="AA131" s="253">
        <f>D131+H131+L131+P131+T131+X131</f>
        <v>412</v>
      </c>
      <c r="AB131" s="251">
        <f>E131+I131+M131+Q131+U131+Y131</f>
        <v>195</v>
      </c>
      <c r="AC131" s="276">
        <v>45</v>
      </c>
      <c r="AD131" s="193">
        <v>25</v>
      </c>
      <c r="AE131" s="251">
        <f>F131+J131+N131+R131+V131+Z131</f>
        <v>17</v>
      </c>
    </row>
    <row r="132" spans="1:31" x14ac:dyDescent="0.25">
      <c r="A132" s="251">
        <v>4</v>
      </c>
      <c r="B132" s="268" t="s">
        <v>123</v>
      </c>
      <c r="C132" s="260" t="s">
        <v>14</v>
      </c>
      <c r="D132" s="253">
        <v>103</v>
      </c>
      <c r="E132" s="251">
        <v>41</v>
      </c>
      <c r="F132" s="254">
        <v>4</v>
      </c>
      <c r="G132" s="269"/>
      <c r="H132" s="253">
        <v>111</v>
      </c>
      <c r="I132" s="254">
        <v>48</v>
      </c>
      <c r="J132" s="198">
        <v>4</v>
      </c>
      <c r="K132" s="255"/>
      <c r="L132" s="256">
        <v>99</v>
      </c>
      <c r="M132" s="251">
        <v>42</v>
      </c>
      <c r="N132" s="254">
        <v>4</v>
      </c>
      <c r="O132" s="270"/>
      <c r="P132" s="253">
        <v>117</v>
      </c>
      <c r="Q132" s="251">
        <v>47</v>
      </c>
      <c r="R132" s="254">
        <v>4</v>
      </c>
      <c r="S132" s="259"/>
      <c r="T132" s="253">
        <v>94</v>
      </c>
      <c r="U132" s="251">
        <v>42</v>
      </c>
      <c r="V132" s="254">
        <v>4</v>
      </c>
      <c r="W132" s="269"/>
      <c r="X132" s="320">
        <v>0</v>
      </c>
      <c r="Y132" s="320">
        <v>0</v>
      </c>
      <c r="Z132" s="320">
        <v>0</v>
      </c>
      <c r="AA132" s="253">
        <f>D132+H132+L132+P132+T132+X132</f>
        <v>524</v>
      </c>
      <c r="AB132" s="251">
        <f>E132+I132+M132+Q132+U132+Y132</f>
        <v>220</v>
      </c>
      <c r="AC132" s="253">
        <v>54</v>
      </c>
      <c r="AD132" s="254">
        <v>29</v>
      </c>
      <c r="AE132" s="251">
        <f>F132+J132+N132+R132+V132+Z132</f>
        <v>20</v>
      </c>
    </row>
    <row r="133" spans="1:31" x14ac:dyDescent="0.25">
      <c r="A133" s="251">
        <v>5</v>
      </c>
      <c r="B133" s="268" t="s">
        <v>123</v>
      </c>
      <c r="C133" s="260" t="s">
        <v>15</v>
      </c>
      <c r="D133" s="349">
        <v>113</v>
      </c>
      <c r="E133" s="251">
        <v>51</v>
      </c>
      <c r="F133" s="254">
        <v>4</v>
      </c>
      <c r="G133" s="269"/>
      <c r="H133" s="253">
        <v>103</v>
      </c>
      <c r="I133" s="254">
        <v>50</v>
      </c>
      <c r="J133" s="198">
        <v>4</v>
      </c>
      <c r="K133" s="255"/>
      <c r="L133" s="256">
        <v>98</v>
      </c>
      <c r="M133" s="251">
        <v>39</v>
      </c>
      <c r="N133" s="254">
        <v>4</v>
      </c>
      <c r="O133" s="270"/>
      <c r="P133" s="253">
        <v>119</v>
      </c>
      <c r="Q133" s="251">
        <v>63</v>
      </c>
      <c r="R133" s="254">
        <v>5</v>
      </c>
      <c r="S133" s="259"/>
      <c r="T133" s="253">
        <v>105</v>
      </c>
      <c r="U133" s="251">
        <v>54</v>
      </c>
      <c r="V133" s="254">
        <v>4</v>
      </c>
      <c r="W133" s="269"/>
      <c r="X133" s="320">
        <v>0</v>
      </c>
      <c r="Y133" s="320">
        <v>0</v>
      </c>
      <c r="Z133" s="320">
        <v>0</v>
      </c>
      <c r="AA133" s="253">
        <f>D133+H133+L133+P133+T133+X133</f>
        <v>538</v>
      </c>
      <c r="AB133" s="251">
        <f>E133+I133+M133+Q133+U133+Y133</f>
        <v>257</v>
      </c>
      <c r="AC133" s="276">
        <v>40</v>
      </c>
      <c r="AD133" s="193">
        <v>19</v>
      </c>
      <c r="AE133" s="251">
        <f>F133+J133+N133+R133+V133+Z133</f>
        <v>21</v>
      </c>
    </row>
    <row r="134" spans="1:31" x14ac:dyDescent="0.25">
      <c r="A134" s="251">
        <v>6</v>
      </c>
      <c r="B134" s="268" t="s">
        <v>123</v>
      </c>
      <c r="C134" s="252" t="s">
        <v>16</v>
      </c>
      <c r="D134" s="253">
        <v>57</v>
      </c>
      <c r="E134" s="251">
        <v>34</v>
      </c>
      <c r="F134" s="254">
        <v>2</v>
      </c>
      <c r="G134" s="269"/>
      <c r="H134" s="253">
        <v>80</v>
      </c>
      <c r="I134" s="254">
        <v>32</v>
      </c>
      <c r="J134" s="198">
        <v>3</v>
      </c>
      <c r="K134" s="255"/>
      <c r="L134" s="256">
        <v>103</v>
      </c>
      <c r="M134" s="251">
        <v>54</v>
      </c>
      <c r="N134" s="254">
        <v>4</v>
      </c>
      <c r="O134" s="270"/>
      <c r="P134" s="253">
        <v>59</v>
      </c>
      <c r="Q134" s="251">
        <v>32</v>
      </c>
      <c r="R134" s="254">
        <v>2</v>
      </c>
      <c r="S134" s="270"/>
      <c r="T134" s="253">
        <v>61</v>
      </c>
      <c r="U134" s="251">
        <v>25</v>
      </c>
      <c r="V134" s="254">
        <v>2</v>
      </c>
      <c r="W134" s="269"/>
      <c r="X134" s="320">
        <v>0</v>
      </c>
      <c r="Y134" s="320">
        <v>0</v>
      </c>
      <c r="Z134" s="320">
        <v>0</v>
      </c>
      <c r="AA134" s="253">
        <f>D134+H134+L134+P134+T134+X134</f>
        <v>360</v>
      </c>
      <c r="AB134" s="251">
        <f>E134+I134+M134+Q134+U134+Y134</f>
        <v>177</v>
      </c>
      <c r="AC134" s="253">
        <v>4</v>
      </c>
      <c r="AD134" s="254">
        <v>2</v>
      </c>
      <c r="AE134" s="251">
        <f>F134+J134+N134+R134+V134+Z134</f>
        <v>13</v>
      </c>
    </row>
    <row r="135" spans="1:31" ht="30" x14ac:dyDescent="0.25">
      <c r="A135" s="251">
        <v>7</v>
      </c>
      <c r="B135" s="268" t="s">
        <v>123</v>
      </c>
      <c r="C135" s="252" t="s">
        <v>17</v>
      </c>
      <c r="D135" s="253">
        <v>58</v>
      </c>
      <c r="E135" s="251">
        <v>19</v>
      </c>
      <c r="F135" s="254">
        <v>2</v>
      </c>
      <c r="G135" s="269"/>
      <c r="H135" s="253">
        <v>99</v>
      </c>
      <c r="I135" s="254">
        <v>43</v>
      </c>
      <c r="J135" s="198">
        <v>3</v>
      </c>
      <c r="K135" s="255"/>
      <c r="L135" s="256">
        <v>67</v>
      </c>
      <c r="M135" s="251">
        <v>35</v>
      </c>
      <c r="N135" s="254">
        <v>3</v>
      </c>
      <c r="O135" s="270"/>
      <c r="P135" s="253">
        <v>49</v>
      </c>
      <c r="Q135" s="251">
        <v>26</v>
      </c>
      <c r="R135" s="254">
        <v>2</v>
      </c>
      <c r="S135" s="269"/>
      <c r="T135" s="253">
        <v>73</v>
      </c>
      <c r="U135" s="251">
        <v>28</v>
      </c>
      <c r="V135" s="254">
        <v>3</v>
      </c>
      <c r="W135" s="269"/>
      <c r="X135" s="320">
        <v>0</v>
      </c>
      <c r="Y135" s="320">
        <v>0</v>
      </c>
      <c r="Z135" s="320">
        <v>0</v>
      </c>
      <c r="AA135" s="253">
        <f>D135+H135+L135+P135+T135+X135</f>
        <v>346</v>
      </c>
      <c r="AB135" s="251">
        <f>E135+I135+M135+Q135+U135+Y135</f>
        <v>151</v>
      </c>
      <c r="AC135" s="276">
        <v>38</v>
      </c>
      <c r="AD135" s="193">
        <v>19</v>
      </c>
      <c r="AE135" s="251">
        <f>F135+J135+N135+R135+V135+Z135</f>
        <v>13</v>
      </c>
    </row>
    <row r="136" spans="1:31" x14ac:dyDescent="0.25">
      <c r="A136" s="251">
        <v>8</v>
      </c>
      <c r="B136" s="268" t="s">
        <v>123</v>
      </c>
      <c r="C136" s="260" t="s">
        <v>18</v>
      </c>
      <c r="D136" s="253">
        <v>93</v>
      </c>
      <c r="E136" s="251">
        <v>37</v>
      </c>
      <c r="F136" s="254">
        <v>4</v>
      </c>
      <c r="G136" s="269"/>
      <c r="H136" s="253">
        <v>113</v>
      </c>
      <c r="I136" s="254">
        <v>54</v>
      </c>
      <c r="J136" s="198">
        <v>4</v>
      </c>
      <c r="K136" s="255"/>
      <c r="L136" s="256">
        <v>94</v>
      </c>
      <c r="M136" s="251">
        <v>45</v>
      </c>
      <c r="N136" s="254">
        <v>4</v>
      </c>
      <c r="O136" s="270"/>
      <c r="P136" s="253">
        <v>92</v>
      </c>
      <c r="Q136" s="251">
        <v>38</v>
      </c>
      <c r="R136" s="254">
        <v>4</v>
      </c>
      <c r="S136" s="259"/>
      <c r="T136" s="253">
        <v>90</v>
      </c>
      <c r="U136" s="251">
        <v>44</v>
      </c>
      <c r="V136" s="254">
        <v>3</v>
      </c>
      <c r="W136" s="269"/>
      <c r="X136" s="320">
        <v>0</v>
      </c>
      <c r="Y136" s="320">
        <v>0</v>
      </c>
      <c r="Z136" s="320">
        <v>0</v>
      </c>
      <c r="AA136" s="253">
        <f>D136+H136+L136+P136+T136+X136</f>
        <v>482</v>
      </c>
      <c r="AB136" s="251">
        <f>E136+I136+M136+Q136+U136+Y136</f>
        <v>218</v>
      </c>
      <c r="AC136" s="253">
        <v>31</v>
      </c>
      <c r="AD136" s="254">
        <v>16</v>
      </c>
      <c r="AE136" s="251">
        <f>F136+J136+N136+R136+V136+Z136</f>
        <v>19</v>
      </c>
    </row>
    <row r="137" spans="1:31" ht="28.2" x14ac:dyDescent="0.25">
      <c r="A137" s="251">
        <v>9</v>
      </c>
      <c r="B137" s="268" t="s">
        <v>123</v>
      </c>
      <c r="C137" s="252" t="s">
        <v>84</v>
      </c>
      <c r="D137" s="253">
        <v>113</v>
      </c>
      <c r="E137" s="251">
        <v>37</v>
      </c>
      <c r="F137" s="254">
        <v>4</v>
      </c>
      <c r="G137" s="269"/>
      <c r="H137" s="253">
        <v>92</v>
      </c>
      <c r="I137" s="254">
        <v>40</v>
      </c>
      <c r="J137" s="198">
        <v>3</v>
      </c>
      <c r="K137" s="269"/>
      <c r="L137" s="256">
        <v>59</v>
      </c>
      <c r="M137" s="251">
        <v>33</v>
      </c>
      <c r="N137" s="254">
        <v>2</v>
      </c>
      <c r="O137" s="269"/>
      <c r="P137" s="253">
        <v>90</v>
      </c>
      <c r="Q137" s="251">
        <v>40</v>
      </c>
      <c r="R137" s="254">
        <v>3</v>
      </c>
      <c r="S137" s="259"/>
      <c r="T137" s="253">
        <v>80</v>
      </c>
      <c r="U137" s="251">
        <v>48</v>
      </c>
      <c r="V137" s="254">
        <v>3</v>
      </c>
      <c r="W137" s="269"/>
      <c r="X137" s="320">
        <v>0</v>
      </c>
      <c r="Y137" s="320">
        <v>0</v>
      </c>
      <c r="Z137" s="320">
        <v>0</v>
      </c>
      <c r="AA137" s="253">
        <f>D137+H137+L137+P137+T137+X137</f>
        <v>434</v>
      </c>
      <c r="AB137" s="251">
        <f>E137+I137+M137+Q137+U137+Y137</f>
        <v>198</v>
      </c>
      <c r="AC137" s="276">
        <v>24</v>
      </c>
      <c r="AD137" s="193">
        <v>11</v>
      </c>
      <c r="AE137" s="251">
        <f>F137+J137+N137+R137+V137+Z137</f>
        <v>15</v>
      </c>
    </row>
    <row r="138" spans="1:31" ht="15.6" x14ac:dyDescent="0.25">
      <c r="A138" s="251">
        <v>10</v>
      </c>
      <c r="B138" s="268" t="s">
        <v>123</v>
      </c>
      <c r="C138" s="277" t="s">
        <v>20</v>
      </c>
      <c r="D138" s="349">
        <v>116</v>
      </c>
      <c r="E138" s="251">
        <v>58</v>
      </c>
      <c r="F138" s="254">
        <v>4</v>
      </c>
      <c r="G138" s="269"/>
      <c r="H138" s="253">
        <v>113</v>
      </c>
      <c r="I138" s="254">
        <v>51</v>
      </c>
      <c r="J138" s="198">
        <v>4</v>
      </c>
      <c r="K138" s="269"/>
      <c r="L138" s="256">
        <v>99</v>
      </c>
      <c r="M138" s="251">
        <v>46</v>
      </c>
      <c r="N138" s="254">
        <v>4</v>
      </c>
      <c r="O138" s="269"/>
      <c r="P138" s="253">
        <v>114</v>
      </c>
      <c r="Q138" s="251">
        <v>53</v>
      </c>
      <c r="R138" s="254">
        <v>4</v>
      </c>
      <c r="S138" s="269"/>
      <c r="T138" s="253">
        <v>111</v>
      </c>
      <c r="U138" s="251">
        <v>57</v>
      </c>
      <c r="V138" s="254">
        <v>4</v>
      </c>
      <c r="W138" s="269"/>
      <c r="X138" s="320">
        <v>0</v>
      </c>
      <c r="Y138" s="320">
        <v>0</v>
      </c>
      <c r="Z138" s="320">
        <v>0</v>
      </c>
      <c r="AA138" s="253">
        <f>D138+H138+L138+P138+T138+X138</f>
        <v>553</v>
      </c>
      <c r="AB138" s="251">
        <f>E138+I138+M138+Q138+U138+Y138</f>
        <v>265</v>
      </c>
      <c r="AC138" s="253">
        <v>9</v>
      </c>
      <c r="AD138" s="254">
        <v>3</v>
      </c>
      <c r="AE138" s="251">
        <f>F138+J138+N138+R138+V138+Z138</f>
        <v>20</v>
      </c>
    </row>
    <row r="139" spans="1:31" ht="15.6" x14ac:dyDescent="0.25">
      <c r="A139" s="268">
        <v>11</v>
      </c>
      <c r="B139" s="268" t="s">
        <v>123</v>
      </c>
      <c r="C139" s="299" t="s">
        <v>21</v>
      </c>
      <c r="D139" s="219">
        <v>116</v>
      </c>
      <c r="E139" s="268">
        <v>41</v>
      </c>
      <c r="F139" s="198">
        <v>4</v>
      </c>
      <c r="G139" s="300"/>
      <c r="H139" s="271">
        <v>121</v>
      </c>
      <c r="I139" s="198">
        <v>59</v>
      </c>
      <c r="J139" s="198">
        <v>4</v>
      </c>
      <c r="K139" s="300"/>
      <c r="L139" s="301">
        <v>102</v>
      </c>
      <c r="M139" s="268">
        <v>46</v>
      </c>
      <c r="N139" s="198">
        <v>4</v>
      </c>
      <c r="O139" s="300"/>
      <c r="P139" s="271">
        <v>112</v>
      </c>
      <c r="Q139" s="268">
        <v>56</v>
      </c>
      <c r="R139" s="198">
        <v>4</v>
      </c>
      <c r="S139" s="255"/>
      <c r="T139" s="271">
        <v>107</v>
      </c>
      <c r="U139" s="268">
        <v>42</v>
      </c>
      <c r="V139" s="198">
        <v>4</v>
      </c>
      <c r="W139" s="300"/>
      <c r="X139" s="320">
        <v>0</v>
      </c>
      <c r="Y139" s="320">
        <v>0</v>
      </c>
      <c r="Z139" s="320">
        <v>0</v>
      </c>
      <c r="AA139" s="271">
        <f>D139+H139+L139+P139+T139+X139</f>
        <v>558</v>
      </c>
      <c r="AB139" s="268">
        <f>E139+I139+M139+Q139+U139+Y139</f>
        <v>244</v>
      </c>
      <c r="AC139" s="276">
        <v>30</v>
      </c>
      <c r="AD139" s="193">
        <v>11</v>
      </c>
      <c r="AE139" s="268">
        <f>F139+J139+N139+R139+V139+Z139</f>
        <v>20</v>
      </c>
    </row>
    <row r="140" spans="1:31" ht="31.2" x14ac:dyDescent="0.25">
      <c r="A140" s="253"/>
      <c r="B140" s="253" t="s">
        <v>123</v>
      </c>
      <c r="C140" s="302" t="s">
        <v>53</v>
      </c>
      <c r="D140" s="274">
        <f>SUM(D129:D139)</f>
        <v>1083</v>
      </c>
      <c r="E140" s="274">
        <f>SUM(E129:E139)</f>
        <v>477</v>
      </c>
      <c r="F140" s="361">
        <f>SUM(F129:F139)</f>
        <v>39</v>
      </c>
      <c r="G140" s="362"/>
      <c r="H140" s="274">
        <f>SUM(H129:H139)</f>
        <v>1151</v>
      </c>
      <c r="I140" s="346">
        <f>SUM(I129:I139)</f>
        <v>529</v>
      </c>
      <c r="J140" s="361">
        <f>SUM(J129:J139)</f>
        <v>41</v>
      </c>
      <c r="K140" s="362"/>
      <c r="L140" s="347">
        <f>SUM(L129:L139)</f>
        <v>1052</v>
      </c>
      <c r="M140" s="274">
        <f>SUM(M129:M139)</f>
        <v>492</v>
      </c>
      <c r="N140" s="361">
        <f>SUM(N129:N139)</f>
        <v>41</v>
      </c>
      <c r="O140" s="362"/>
      <c r="P140" s="274">
        <f>SUM(P129:P139)</f>
        <v>1101</v>
      </c>
      <c r="Q140" s="274">
        <f>SUM(Q129:Q139)</f>
        <v>535</v>
      </c>
      <c r="R140" s="361">
        <f>SUM(R129:R139)</f>
        <v>42</v>
      </c>
      <c r="S140" s="362"/>
      <c r="T140" s="274">
        <f>SUM(T129:T139)</f>
        <v>1032</v>
      </c>
      <c r="U140" s="274">
        <f>SUM(U129:U139)</f>
        <v>468</v>
      </c>
      <c r="V140" s="361">
        <f>SUM(V129:V139)</f>
        <v>39</v>
      </c>
      <c r="W140" s="362"/>
      <c r="X140" s="274">
        <f>X131</f>
        <v>72</v>
      </c>
      <c r="Y140" s="274">
        <f t="shared" ref="Y140:Z140" si="14">Y131</f>
        <v>34</v>
      </c>
      <c r="Z140" s="274">
        <f t="shared" si="14"/>
        <v>3</v>
      </c>
      <c r="AA140" s="274">
        <f>SUM(AA129:AA139)</f>
        <v>5491</v>
      </c>
      <c r="AB140" s="274">
        <f t="shared" ref="AB140:AE140" si="15">SUM(AB129:AB139)</f>
        <v>2535</v>
      </c>
      <c r="AC140" s="274">
        <f t="shared" si="15"/>
        <v>323</v>
      </c>
      <c r="AD140" s="274">
        <f t="shared" si="15"/>
        <v>156</v>
      </c>
      <c r="AE140" s="274">
        <f t="shared" si="15"/>
        <v>205</v>
      </c>
    </row>
    <row r="141" spans="1:31" x14ac:dyDescent="0.25">
      <c r="A141" s="283" t="s">
        <v>125</v>
      </c>
    </row>
    <row r="142" spans="1:31" ht="30" x14ac:dyDescent="0.25">
      <c r="A142" s="251">
        <v>1</v>
      </c>
      <c r="B142" s="268" t="s">
        <v>127</v>
      </c>
      <c r="C142" s="252" t="s">
        <v>11</v>
      </c>
      <c r="D142" s="253">
        <v>142</v>
      </c>
      <c r="E142" s="251">
        <v>86</v>
      </c>
      <c r="F142" s="254">
        <v>5</v>
      </c>
      <c r="G142" s="269"/>
      <c r="H142" s="253">
        <v>144</v>
      </c>
      <c r="I142" s="254">
        <v>82</v>
      </c>
      <c r="J142" s="254">
        <v>5</v>
      </c>
      <c r="K142" s="269"/>
      <c r="L142" s="256">
        <v>139</v>
      </c>
      <c r="M142" s="251">
        <v>64</v>
      </c>
      <c r="N142" s="254">
        <v>5</v>
      </c>
      <c r="O142" s="270"/>
      <c r="P142" s="253">
        <v>136</v>
      </c>
      <c r="Q142" s="251">
        <v>65</v>
      </c>
      <c r="R142" s="254">
        <v>5</v>
      </c>
      <c r="S142" s="269"/>
      <c r="T142" s="253">
        <v>141</v>
      </c>
      <c r="U142" s="251">
        <v>74</v>
      </c>
      <c r="V142" s="254">
        <v>5</v>
      </c>
      <c r="W142" s="269"/>
      <c r="X142" s="320">
        <v>0</v>
      </c>
      <c r="Y142" s="320">
        <v>0</v>
      </c>
      <c r="Z142" s="320">
        <v>0</v>
      </c>
      <c r="AA142" s="253">
        <f>D142+H142+L142+P142+T142</f>
        <v>702</v>
      </c>
      <c r="AB142" s="251">
        <f>E142+I142+M142+Q142+U142+Y142</f>
        <v>371</v>
      </c>
      <c r="AC142" s="271">
        <v>18</v>
      </c>
      <c r="AD142" s="198">
        <v>8</v>
      </c>
      <c r="AE142" s="251">
        <f>F142+J142+N142+R142+V142+Z142</f>
        <v>25</v>
      </c>
    </row>
    <row r="143" spans="1:31" ht="41.4" x14ac:dyDescent="0.25">
      <c r="A143" s="251">
        <v>2</v>
      </c>
      <c r="B143" s="268" t="s">
        <v>127</v>
      </c>
      <c r="C143" s="252" t="s">
        <v>85</v>
      </c>
      <c r="D143" s="253">
        <v>123</v>
      </c>
      <c r="E143" s="251">
        <v>59</v>
      </c>
      <c r="F143" s="254">
        <v>5</v>
      </c>
      <c r="G143" s="269"/>
      <c r="H143" s="253">
        <v>120</v>
      </c>
      <c r="I143" s="254">
        <v>45</v>
      </c>
      <c r="J143" s="193">
        <v>4</v>
      </c>
      <c r="K143" s="273"/>
      <c r="L143" s="256">
        <v>119</v>
      </c>
      <c r="M143" s="251">
        <v>56</v>
      </c>
      <c r="N143" s="254">
        <v>5</v>
      </c>
      <c r="O143" s="270"/>
      <c r="P143" s="253">
        <v>115</v>
      </c>
      <c r="Q143" s="251">
        <v>54</v>
      </c>
      <c r="R143" s="254">
        <v>4</v>
      </c>
      <c r="S143" s="273"/>
      <c r="T143" s="253">
        <v>119</v>
      </c>
      <c r="U143" s="251">
        <v>58</v>
      </c>
      <c r="V143" s="254">
        <v>5</v>
      </c>
      <c r="W143" s="269"/>
      <c r="X143" s="320">
        <v>0</v>
      </c>
      <c r="Y143" s="320">
        <v>0</v>
      </c>
      <c r="Z143" s="320">
        <v>0</v>
      </c>
      <c r="AA143" s="253">
        <f>D143+H143+L143+P143+T143+X143</f>
        <v>596</v>
      </c>
      <c r="AB143" s="251">
        <f>E143+I143+M143+Q143+U143+Y143</f>
        <v>272</v>
      </c>
      <c r="AC143" s="253">
        <v>37</v>
      </c>
      <c r="AD143" s="254">
        <v>21</v>
      </c>
      <c r="AE143" s="251">
        <f>F143+J143+N143+R143+V143+Z143</f>
        <v>23</v>
      </c>
    </row>
    <row r="144" spans="1:31" ht="45.6" x14ac:dyDescent="0.25">
      <c r="A144" s="251">
        <v>3</v>
      </c>
      <c r="B144" s="268" t="s">
        <v>127</v>
      </c>
      <c r="C144" s="252" t="s">
        <v>110</v>
      </c>
      <c r="D144" s="253">
        <v>68</v>
      </c>
      <c r="E144" s="251">
        <v>36</v>
      </c>
      <c r="F144" s="254">
        <v>3</v>
      </c>
      <c r="G144" s="269"/>
      <c r="H144" s="253">
        <v>47</v>
      </c>
      <c r="I144" s="254">
        <v>31</v>
      </c>
      <c r="J144" s="198">
        <v>2</v>
      </c>
      <c r="K144" s="269"/>
      <c r="L144" s="256">
        <v>50</v>
      </c>
      <c r="M144" s="251">
        <v>22</v>
      </c>
      <c r="N144" s="254">
        <v>2</v>
      </c>
      <c r="O144" s="270"/>
      <c r="P144" s="253">
        <v>76</v>
      </c>
      <c r="Q144" s="251">
        <v>33</v>
      </c>
      <c r="R144" s="254">
        <v>3</v>
      </c>
      <c r="S144" s="270"/>
      <c r="T144" s="253">
        <v>92</v>
      </c>
      <c r="U144" s="251">
        <v>49</v>
      </c>
      <c r="V144" s="254">
        <v>4</v>
      </c>
      <c r="W144" s="269"/>
      <c r="X144" s="321">
        <v>61</v>
      </c>
      <c r="Y144" s="320">
        <v>24</v>
      </c>
      <c r="Z144" s="320">
        <v>3</v>
      </c>
      <c r="AA144" s="253">
        <f>D144+H144+L144+P144+T144+X144</f>
        <v>394</v>
      </c>
      <c r="AB144" s="251">
        <f>E144+I144+M144+Q144+U144+Y144</f>
        <v>195</v>
      </c>
      <c r="AC144" s="276">
        <v>43</v>
      </c>
      <c r="AD144" s="193">
        <v>25</v>
      </c>
      <c r="AE144" s="251">
        <f>F144+J144+N144+R144+V144+Z144</f>
        <v>17</v>
      </c>
    </row>
    <row r="145" spans="1:31" x14ac:dyDescent="0.25">
      <c r="A145" s="251">
        <v>4</v>
      </c>
      <c r="B145" s="268" t="s">
        <v>127</v>
      </c>
      <c r="C145" s="260" t="s">
        <v>14</v>
      </c>
      <c r="D145" s="253">
        <v>114</v>
      </c>
      <c r="E145" s="251">
        <v>46</v>
      </c>
      <c r="F145" s="254">
        <v>4</v>
      </c>
      <c r="G145" s="269"/>
      <c r="H145" s="253">
        <v>103</v>
      </c>
      <c r="I145" s="254">
        <v>43</v>
      </c>
      <c r="J145" s="198">
        <v>4</v>
      </c>
      <c r="K145" s="255"/>
      <c r="L145" s="256">
        <v>113</v>
      </c>
      <c r="M145" s="251">
        <v>50</v>
      </c>
      <c r="N145" s="254">
        <v>4</v>
      </c>
      <c r="O145" s="270"/>
      <c r="P145" s="253">
        <v>99</v>
      </c>
      <c r="Q145" s="251">
        <v>41</v>
      </c>
      <c r="R145" s="254">
        <v>4</v>
      </c>
      <c r="S145" s="259"/>
      <c r="T145" s="253">
        <v>117</v>
      </c>
      <c r="U145" s="251">
        <v>46</v>
      </c>
      <c r="V145" s="254">
        <v>4</v>
      </c>
      <c r="W145" s="269"/>
      <c r="X145" s="320">
        <v>0</v>
      </c>
      <c r="Y145" s="320">
        <v>0</v>
      </c>
      <c r="Z145" s="320">
        <v>0</v>
      </c>
      <c r="AA145" s="253">
        <f>D145+H145+L145+P145+T145+X145</f>
        <v>546</v>
      </c>
      <c r="AB145" s="251">
        <f>E145+I145+M145+Q145+U145+Y145</f>
        <v>226</v>
      </c>
      <c r="AC145" s="253">
        <v>56</v>
      </c>
      <c r="AD145" s="254">
        <v>33</v>
      </c>
      <c r="AE145" s="251">
        <f>F145+J145+N145+R145+V145+Z145</f>
        <v>20</v>
      </c>
    </row>
    <row r="146" spans="1:31" x14ac:dyDescent="0.25">
      <c r="A146" s="251">
        <v>5</v>
      </c>
      <c r="B146" s="268" t="s">
        <v>127</v>
      </c>
      <c r="C146" s="260" t="s">
        <v>15</v>
      </c>
      <c r="D146" s="349">
        <v>103</v>
      </c>
      <c r="E146" s="251">
        <v>63</v>
      </c>
      <c r="F146" s="254">
        <v>4</v>
      </c>
      <c r="G146" s="269"/>
      <c r="H146" s="253">
        <v>114</v>
      </c>
      <c r="I146" s="254">
        <v>52</v>
      </c>
      <c r="J146" s="198">
        <v>4</v>
      </c>
      <c r="K146" s="255"/>
      <c r="L146" s="256">
        <v>102</v>
      </c>
      <c r="M146" s="251">
        <v>50</v>
      </c>
      <c r="N146" s="254">
        <v>4</v>
      </c>
      <c r="O146" s="270"/>
      <c r="P146" s="253">
        <v>93</v>
      </c>
      <c r="Q146" s="251">
        <v>37</v>
      </c>
      <c r="R146" s="254">
        <v>4</v>
      </c>
      <c r="S146" s="259"/>
      <c r="T146" s="253">
        <v>119</v>
      </c>
      <c r="U146" s="251">
        <v>62</v>
      </c>
      <c r="V146" s="254">
        <v>5</v>
      </c>
      <c r="W146" s="269"/>
      <c r="X146" s="320">
        <v>0</v>
      </c>
      <c r="Y146" s="320">
        <v>0</v>
      </c>
      <c r="Z146" s="320">
        <v>0</v>
      </c>
      <c r="AA146" s="253">
        <f>D146+H146+L146+P146+T146+X146</f>
        <v>531</v>
      </c>
      <c r="AB146" s="251">
        <f>E146+I146+M146+Q146+U146+Y146</f>
        <v>264</v>
      </c>
      <c r="AC146" s="276">
        <v>43</v>
      </c>
      <c r="AD146" s="193">
        <v>21</v>
      </c>
      <c r="AE146" s="251">
        <f>F146+J146+N146+R146+V146+Z146</f>
        <v>21</v>
      </c>
    </row>
    <row r="147" spans="1:31" x14ac:dyDescent="0.25">
      <c r="A147" s="251">
        <v>6</v>
      </c>
      <c r="B147" s="268" t="s">
        <v>127</v>
      </c>
      <c r="C147" s="252" t="s">
        <v>16</v>
      </c>
      <c r="D147" s="253">
        <v>106</v>
      </c>
      <c r="E147" s="251">
        <v>47</v>
      </c>
      <c r="F147" s="254">
        <v>4</v>
      </c>
      <c r="G147" s="269"/>
      <c r="H147" s="253">
        <v>58</v>
      </c>
      <c r="I147" s="254">
        <v>35</v>
      </c>
      <c r="J147" s="198">
        <v>2</v>
      </c>
      <c r="K147" s="255"/>
      <c r="L147" s="256">
        <v>77</v>
      </c>
      <c r="M147" s="251">
        <v>30</v>
      </c>
      <c r="N147" s="254">
        <v>3</v>
      </c>
      <c r="O147" s="270"/>
      <c r="P147" s="253">
        <v>102</v>
      </c>
      <c r="Q147" s="251">
        <v>54</v>
      </c>
      <c r="R147" s="254">
        <v>4</v>
      </c>
      <c r="S147" s="270"/>
      <c r="T147" s="253">
        <v>56</v>
      </c>
      <c r="U147" s="251">
        <v>30</v>
      </c>
      <c r="V147" s="254">
        <v>2</v>
      </c>
      <c r="W147" s="269"/>
      <c r="X147" s="320">
        <v>0</v>
      </c>
      <c r="Y147" s="320">
        <v>0</v>
      </c>
      <c r="Z147" s="320">
        <v>0</v>
      </c>
      <c r="AA147" s="253">
        <f>D147+H147+L147+P147+T147+X147</f>
        <v>399</v>
      </c>
      <c r="AB147" s="251">
        <f>E147+I147+M147+Q147+U147+Y147</f>
        <v>196</v>
      </c>
      <c r="AC147" s="253">
        <v>5</v>
      </c>
      <c r="AD147" s="254">
        <v>2</v>
      </c>
      <c r="AE147" s="251">
        <f>F147+J147+N147+R147+V147+Z147</f>
        <v>15</v>
      </c>
    </row>
    <row r="148" spans="1:31" ht="30" x14ac:dyDescent="0.25">
      <c r="A148" s="251">
        <v>7</v>
      </c>
      <c r="B148" s="268" t="s">
        <v>127</v>
      </c>
      <c r="C148" s="252" t="s">
        <v>17</v>
      </c>
      <c r="D148" s="253">
        <v>41</v>
      </c>
      <c r="E148" s="251">
        <v>19</v>
      </c>
      <c r="F148" s="254">
        <v>2</v>
      </c>
      <c r="G148" s="269"/>
      <c r="H148" s="253">
        <v>53</v>
      </c>
      <c r="I148" s="254">
        <v>16</v>
      </c>
      <c r="J148" s="198">
        <v>2</v>
      </c>
      <c r="K148" s="255"/>
      <c r="L148" s="256">
        <v>90</v>
      </c>
      <c r="M148" s="251">
        <v>41</v>
      </c>
      <c r="N148" s="254">
        <v>3</v>
      </c>
      <c r="O148" s="270"/>
      <c r="P148" s="253">
        <v>72</v>
      </c>
      <c r="Q148" s="251">
        <v>34</v>
      </c>
      <c r="R148" s="254">
        <v>3</v>
      </c>
      <c r="S148" s="269"/>
      <c r="T148" s="253">
        <v>52</v>
      </c>
      <c r="U148" s="251">
        <v>29</v>
      </c>
      <c r="V148" s="254">
        <v>2</v>
      </c>
      <c r="W148" s="269"/>
      <c r="X148" s="320">
        <v>0</v>
      </c>
      <c r="Y148" s="320">
        <v>0</v>
      </c>
      <c r="Z148" s="320">
        <v>0</v>
      </c>
      <c r="AA148" s="253">
        <f>D148+H148+L148+P148+T148+X148</f>
        <v>308</v>
      </c>
      <c r="AB148" s="251">
        <f>E148+I148+M148+Q148+U148+Y148</f>
        <v>139</v>
      </c>
      <c r="AC148" s="276">
        <v>39</v>
      </c>
      <c r="AD148" s="193">
        <v>19</v>
      </c>
      <c r="AE148" s="251">
        <f>F148+J148+N148+R148+V148+Z148</f>
        <v>12</v>
      </c>
    </row>
    <row r="149" spans="1:31" x14ac:dyDescent="0.25">
      <c r="A149" s="251">
        <v>8</v>
      </c>
      <c r="B149" s="268" t="s">
        <v>127</v>
      </c>
      <c r="C149" s="260" t="s">
        <v>18</v>
      </c>
      <c r="D149" s="253">
        <v>112</v>
      </c>
      <c r="E149" s="251">
        <v>54</v>
      </c>
      <c r="F149" s="254">
        <v>4</v>
      </c>
      <c r="G149" s="269"/>
      <c r="H149" s="253">
        <v>93</v>
      </c>
      <c r="I149" s="254">
        <v>38</v>
      </c>
      <c r="J149" s="198">
        <v>4</v>
      </c>
      <c r="K149" s="255"/>
      <c r="L149" s="256">
        <v>105</v>
      </c>
      <c r="M149" s="251">
        <v>49</v>
      </c>
      <c r="N149" s="254">
        <v>4</v>
      </c>
      <c r="O149" s="270"/>
      <c r="P149" s="253">
        <v>92</v>
      </c>
      <c r="Q149" s="251">
        <v>42</v>
      </c>
      <c r="R149" s="254">
        <v>4</v>
      </c>
      <c r="S149" s="259"/>
      <c r="T149" s="253">
        <v>88</v>
      </c>
      <c r="U149" s="251">
        <v>38</v>
      </c>
      <c r="V149" s="254">
        <v>4</v>
      </c>
      <c r="W149" s="269"/>
      <c r="X149" s="320">
        <v>0</v>
      </c>
      <c r="Y149" s="320">
        <v>0</v>
      </c>
      <c r="Z149" s="320">
        <v>0</v>
      </c>
      <c r="AA149" s="253">
        <f>D149+H149+L149+P149+T149+X149</f>
        <v>490</v>
      </c>
      <c r="AB149" s="251">
        <f>E149+I149+M149+Q149+U149+Y149</f>
        <v>221</v>
      </c>
      <c r="AC149" s="253">
        <v>21</v>
      </c>
      <c r="AD149" s="254">
        <v>11</v>
      </c>
      <c r="AE149" s="251">
        <f>F149+J149+N149+R149+V149+Z149</f>
        <v>20</v>
      </c>
    </row>
    <row r="150" spans="1:31" ht="28.2" x14ac:dyDescent="0.25">
      <c r="A150" s="251">
        <v>9</v>
      </c>
      <c r="B150" s="268" t="s">
        <v>127</v>
      </c>
      <c r="C150" s="252" t="s">
        <v>84</v>
      </c>
      <c r="D150" s="253">
        <v>109</v>
      </c>
      <c r="E150" s="251">
        <v>47</v>
      </c>
      <c r="F150" s="254">
        <v>4</v>
      </c>
      <c r="G150" s="269"/>
      <c r="H150" s="253">
        <v>112</v>
      </c>
      <c r="I150" s="254">
        <v>37</v>
      </c>
      <c r="J150" s="198">
        <v>4</v>
      </c>
      <c r="K150" s="269"/>
      <c r="L150" s="256">
        <v>86</v>
      </c>
      <c r="M150" s="251">
        <v>36</v>
      </c>
      <c r="N150" s="254">
        <v>3</v>
      </c>
      <c r="O150" s="269"/>
      <c r="P150" s="253">
        <v>59</v>
      </c>
      <c r="Q150" s="251">
        <v>33</v>
      </c>
      <c r="R150" s="254">
        <v>2</v>
      </c>
      <c r="S150" s="259"/>
      <c r="T150" s="253">
        <v>90</v>
      </c>
      <c r="U150" s="251">
        <v>40</v>
      </c>
      <c r="V150" s="254">
        <v>3</v>
      </c>
      <c r="W150" s="269"/>
      <c r="X150" s="320">
        <v>0</v>
      </c>
      <c r="Y150" s="320">
        <v>0</v>
      </c>
      <c r="Z150" s="320">
        <v>0</v>
      </c>
      <c r="AA150" s="253">
        <f>D150+H150+L150+P150+T150+X150</f>
        <v>456</v>
      </c>
      <c r="AB150" s="251">
        <f>E150+I150+M150+Q150+U150+Y150</f>
        <v>193</v>
      </c>
      <c r="AC150" s="276">
        <v>19</v>
      </c>
      <c r="AD150" s="193">
        <v>7</v>
      </c>
      <c r="AE150" s="251">
        <f>F150+J150+N150+R150+V150+Z150</f>
        <v>16</v>
      </c>
    </row>
    <row r="151" spans="1:31" ht="15.6" x14ac:dyDescent="0.25">
      <c r="A151" s="251">
        <v>10</v>
      </c>
      <c r="B151" s="268" t="s">
        <v>127</v>
      </c>
      <c r="C151" s="277" t="s">
        <v>20</v>
      </c>
      <c r="D151" s="349">
        <v>112</v>
      </c>
      <c r="E151" s="251">
        <v>57</v>
      </c>
      <c r="F151" s="254">
        <v>4</v>
      </c>
      <c r="G151" s="269"/>
      <c r="H151" s="253">
        <v>115</v>
      </c>
      <c r="I151" s="254">
        <v>57</v>
      </c>
      <c r="J151" s="198">
        <v>4</v>
      </c>
      <c r="K151" s="269"/>
      <c r="L151" s="256">
        <v>110</v>
      </c>
      <c r="M151" s="251">
        <v>47</v>
      </c>
      <c r="N151" s="254">
        <v>4</v>
      </c>
      <c r="O151" s="269"/>
      <c r="P151" s="253">
        <v>97</v>
      </c>
      <c r="Q151" s="251">
        <v>46</v>
      </c>
      <c r="R151" s="254">
        <v>4</v>
      </c>
      <c r="S151" s="269"/>
      <c r="T151" s="253">
        <v>113</v>
      </c>
      <c r="U151" s="251">
        <v>52</v>
      </c>
      <c r="V151" s="254">
        <v>4</v>
      </c>
      <c r="W151" s="269"/>
      <c r="X151" s="320">
        <v>0</v>
      </c>
      <c r="Y151" s="320">
        <v>0</v>
      </c>
      <c r="Z151" s="320">
        <v>0</v>
      </c>
      <c r="AA151" s="253">
        <f>D151+H151+L151+P151+T151+X151</f>
        <v>547</v>
      </c>
      <c r="AB151" s="251">
        <f>E151+I151+M151+Q151+U151+Y151</f>
        <v>259</v>
      </c>
      <c r="AC151" s="253">
        <v>10</v>
      </c>
      <c r="AD151" s="254">
        <v>5</v>
      </c>
      <c r="AE151" s="251">
        <f>F151+J151+N151+R151+V151+Z151</f>
        <v>20</v>
      </c>
    </row>
    <row r="152" spans="1:31" ht="15.6" x14ac:dyDescent="0.25">
      <c r="A152" s="268">
        <v>11</v>
      </c>
      <c r="B152" s="268" t="s">
        <v>127</v>
      </c>
      <c r="C152" s="299" t="s">
        <v>21</v>
      </c>
      <c r="D152" s="219">
        <v>111</v>
      </c>
      <c r="E152" s="268">
        <v>52</v>
      </c>
      <c r="F152" s="198">
        <v>4</v>
      </c>
      <c r="G152" s="300"/>
      <c r="H152" s="271">
        <v>118</v>
      </c>
      <c r="I152" s="198">
        <v>40</v>
      </c>
      <c r="J152" s="198">
        <v>4</v>
      </c>
      <c r="K152" s="300"/>
      <c r="L152" s="301">
        <v>121</v>
      </c>
      <c r="M152" s="268">
        <v>57</v>
      </c>
      <c r="N152" s="198">
        <v>4</v>
      </c>
      <c r="O152" s="300"/>
      <c r="P152" s="271">
        <v>104</v>
      </c>
      <c r="Q152" s="268">
        <v>47</v>
      </c>
      <c r="R152" s="198">
        <v>4</v>
      </c>
      <c r="S152" s="255"/>
      <c r="T152" s="271">
        <v>114</v>
      </c>
      <c r="U152" s="268">
        <v>58</v>
      </c>
      <c r="V152" s="198">
        <v>4</v>
      </c>
      <c r="W152" s="300"/>
      <c r="X152" s="320">
        <v>0</v>
      </c>
      <c r="Y152" s="320">
        <v>0</v>
      </c>
      <c r="Z152" s="320">
        <v>0</v>
      </c>
      <c r="AA152" s="271">
        <f>D152+H152+L152+P152+T152+X152</f>
        <v>568</v>
      </c>
      <c r="AB152" s="268">
        <f>E152+I152+M152+Q152+U152+Y152</f>
        <v>254</v>
      </c>
      <c r="AC152" s="276">
        <v>23</v>
      </c>
      <c r="AD152" s="193">
        <v>12</v>
      </c>
      <c r="AE152" s="268">
        <f>F152+J152+N152+R152+V152+Z152</f>
        <v>20</v>
      </c>
    </row>
    <row r="153" spans="1:31" ht="31.2" x14ac:dyDescent="0.25">
      <c r="A153" s="253"/>
      <c r="B153" s="253" t="s">
        <v>127</v>
      </c>
      <c r="C153" s="302" t="s">
        <v>53</v>
      </c>
      <c r="D153" s="274">
        <f>SUM(D142:D152)</f>
        <v>1141</v>
      </c>
      <c r="E153" s="274">
        <f>SUM(E142:E152)</f>
        <v>566</v>
      </c>
      <c r="F153" s="361">
        <f>SUM(F142:F152)</f>
        <v>43</v>
      </c>
      <c r="G153" s="362"/>
      <c r="H153" s="274">
        <f>SUM(H142:H152)</f>
        <v>1077</v>
      </c>
      <c r="I153" s="346">
        <f>SUM(I142:I152)</f>
        <v>476</v>
      </c>
      <c r="J153" s="361">
        <f>SUM(J142:J152)</f>
        <v>39</v>
      </c>
      <c r="K153" s="362"/>
      <c r="L153" s="347">
        <f>SUM(L142:L152)</f>
        <v>1112</v>
      </c>
      <c r="M153" s="274">
        <f>SUM(M142:M152)</f>
        <v>502</v>
      </c>
      <c r="N153" s="361">
        <f>SUM(N142:N152)</f>
        <v>41</v>
      </c>
      <c r="O153" s="362"/>
      <c r="P153" s="274">
        <f>SUM(P142:P152)</f>
        <v>1045</v>
      </c>
      <c r="Q153" s="274">
        <f>SUM(Q142:Q152)</f>
        <v>486</v>
      </c>
      <c r="R153" s="361">
        <f>SUM(R142:R152)</f>
        <v>41</v>
      </c>
      <c r="S153" s="362"/>
      <c r="T153" s="274">
        <f>SUM(T142:T152)</f>
        <v>1101</v>
      </c>
      <c r="U153" s="274">
        <f>SUM(U142:U152)</f>
        <v>536</v>
      </c>
      <c r="V153" s="361">
        <f>SUM(V142:V152)</f>
        <v>42</v>
      </c>
      <c r="W153" s="362"/>
      <c r="X153" s="274">
        <f>X144</f>
        <v>61</v>
      </c>
      <c r="Y153" s="274">
        <f t="shared" ref="Y153:Z153" si="16">Y144</f>
        <v>24</v>
      </c>
      <c r="Z153" s="274">
        <f t="shared" si="16"/>
        <v>3</v>
      </c>
      <c r="AA153" s="274">
        <f>SUM(AA142:AA152)</f>
        <v>5537</v>
      </c>
      <c r="AB153" s="274">
        <f t="shared" ref="AB153:AE153" si="17">SUM(AB142:AB152)</f>
        <v>2590</v>
      </c>
      <c r="AC153" s="274">
        <f t="shared" si="17"/>
        <v>314</v>
      </c>
      <c r="AD153" s="274">
        <f t="shared" si="17"/>
        <v>164</v>
      </c>
      <c r="AE153" s="274">
        <f t="shared" si="17"/>
        <v>209</v>
      </c>
    </row>
    <row r="154" spans="1:31" x14ac:dyDescent="0.25">
      <c r="A154" s="83" t="s">
        <v>128</v>
      </c>
    </row>
    <row r="155" spans="1:31" ht="30" x14ac:dyDescent="0.25">
      <c r="A155" s="251">
        <v>1</v>
      </c>
      <c r="B155" s="268" t="s">
        <v>131</v>
      </c>
      <c r="C155" s="252" t="s">
        <v>11</v>
      </c>
      <c r="D155" s="253">
        <v>143</v>
      </c>
      <c r="E155" s="251">
        <v>82</v>
      </c>
      <c r="F155" s="254">
        <v>5</v>
      </c>
      <c r="G155" s="269"/>
      <c r="H155" s="253">
        <v>144</v>
      </c>
      <c r="I155" s="254">
        <v>86</v>
      </c>
      <c r="J155" s="251">
        <v>5</v>
      </c>
      <c r="K155" s="360"/>
      <c r="L155" s="253">
        <v>136</v>
      </c>
      <c r="M155" s="251">
        <v>79</v>
      </c>
      <c r="N155" s="254">
        <v>5</v>
      </c>
      <c r="O155" s="270"/>
      <c r="P155" s="253">
        <v>137</v>
      </c>
      <c r="Q155" s="251">
        <v>64</v>
      </c>
      <c r="R155" s="254">
        <v>5</v>
      </c>
      <c r="S155" s="269"/>
      <c r="T155" s="253">
        <v>133</v>
      </c>
      <c r="U155" s="251">
        <v>63</v>
      </c>
      <c r="V155" s="254">
        <v>5</v>
      </c>
      <c r="W155" s="269"/>
      <c r="X155" s="320">
        <v>0</v>
      </c>
      <c r="Y155" s="320">
        <v>0</v>
      </c>
      <c r="Z155" s="320">
        <v>0</v>
      </c>
      <c r="AA155" s="253">
        <f>D155+H155+L155+P155+T155</f>
        <v>693</v>
      </c>
      <c r="AB155" s="251">
        <f>E155+I155+M155+Q155+U155+Y155</f>
        <v>374</v>
      </c>
      <c r="AC155" s="271">
        <v>21</v>
      </c>
      <c r="AD155" s="198">
        <v>9</v>
      </c>
      <c r="AE155" s="251">
        <f>F155+J155+N155+R155+V155+Z155</f>
        <v>25</v>
      </c>
    </row>
    <row r="156" spans="1:31" ht="41.4" x14ac:dyDescent="0.25">
      <c r="A156" s="251">
        <v>2</v>
      </c>
      <c r="B156" s="268" t="s">
        <v>131</v>
      </c>
      <c r="C156" s="252" t="s">
        <v>85</v>
      </c>
      <c r="D156" s="253">
        <v>140</v>
      </c>
      <c r="E156" s="251">
        <v>54</v>
      </c>
      <c r="F156" s="254">
        <v>5</v>
      </c>
      <c r="G156" s="269"/>
      <c r="H156" s="253">
        <v>122</v>
      </c>
      <c r="I156" s="254">
        <v>58</v>
      </c>
      <c r="J156" s="251">
        <v>5</v>
      </c>
      <c r="K156" s="360"/>
      <c r="L156" s="253">
        <v>122</v>
      </c>
      <c r="M156" s="251">
        <v>45</v>
      </c>
      <c r="N156" s="254">
        <v>4</v>
      </c>
      <c r="O156" s="270"/>
      <c r="P156" s="253">
        <v>116</v>
      </c>
      <c r="Q156" s="251">
        <v>55</v>
      </c>
      <c r="R156" s="254">
        <v>5</v>
      </c>
      <c r="S156" s="273"/>
      <c r="T156" s="253">
        <v>115</v>
      </c>
      <c r="U156" s="251">
        <v>53</v>
      </c>
      <c r="V156" s="254">
        <v>4</v>
      </c>
      <c r="W156" s="269"/>
      <c r="X156" s="320">
        <v>0</v>
      </c>
      <c r="Y156" s="320">
        <v>0</v>
      </c>
      <c r="Z156" s="320">
        <v>0</v>
      </c>
      <c r="AA156" s="253">
        <f>D156+H156+L156+P156+T156+X156</f>
        <v>615</v>
      </c>
      <c r="AB156" s="251">
        <f>E156+I156+M156+Q156+U156+Y156</f>
        <v>265</v>
      </c>
      <c r="AC156" s="253">
        <v>38</v>
      </c>
      <c r="AD156" s="254">
        <v>18</v>
      </c>
      <c r="AE156" s="251">
        <f>F156+J156+N156+R156+V156+Z156</f>
        <v>23</v>
      </c>
    </row>
    <row r="157" spans="1:31" ht="45.6" x14ac:dyDescent="0.25">
      <c r="A157" s="251">
        <v>3</v>
      </c>
      <c r="B157" s="268" t="s">
        <v>131</v>
      </c>
      <c r="C157" s="252" t="s">
        <v>110</v>
      </c>
      <c r="D157" s="253">
        <v>74</v>
      </c>
      <c r="E157" s="251">
        <v>29</v>
      </c>
      <c r="F157" s="254">
        <v>3</v>
      </c>
      <c r="G157" s="269"/>
      <c r="H157" s="253">
        <v>71</v>
      </c>
      <c r="I157" s="254">
        <v>39</v>
      </c>
      <c r="J157" s="251">
        <v>3</v>
      </c>
      <c r="K157" s="360"/>
      <c r="L157" s="253">
        <v>48</v>
      </c>
      <c r="M157" s="251">
        <v>30</v>
      </c>
      <c r="N157" s="254">
        <v>2</v>
      </c>
      <c r="O157" s="270"/>
      <c r="P157" s="253">
        <v>49</v>
      </c>
      <c r="Q157" s="251">
        <v>25</v>
      </c>
      <c r="R157" s="254">
        <v>2</v>
      </c>
      <c r="S157" s="270"/>
      <c r="T157" s="253">
        <v>81</v>
      </c>
      <c r="U157" s="251">
        <v>33</v>
      </c>
      <c r="V157" s="254">
        <v>3</v>
      </c>
      <c r="W157" s="269"/>
      <c r="X157" s="321">
        <v>85</v>
      </c>
      <c r="Y157" s="320">
        <v>48</v>
      </c>
      <c r="Z157" s="320">
        <v>3</v>
      </c>
      <c r="AA157" s="253">
        <f>D157+H157+L157+P157+T157+X157</f>
        <v>408</v>
      </c>
      <c r="AB157" s="251">
        <f>E157+I157+M157+Q157+U157+Y157</f>
        <v>204</v>
      </c>
      <c r="AC157" s="276">
        <v>59</v>
      </c>
      <c r="AD157" s="193">
        <v>38</v>
      </c>
      <c r="AE157" s="251">
        <f>F157+J157+N157+R157+V157+Z157</f>
        <v>16</v>
      </c>
    </row>
    <row r="158" spans="1:31" x14ac:dyDescent="0.25">
      <c r="A158" s="251">
        <v>4</v>
      </c>
      <c r="B158" s="268" t="s">
        <v>131</v>
      </c>
      <c r="C158" s="260" t="s">
        <v>14</v>
      </c>
      <c r="D158" s="253">
        <v>110</v>
      </c>
      <c r="E158" s="251">
        <v>39</v>
      </c>
      <c r="F158" s="254">
        <v>4</v>
      </c>
      <c r="G158" s="269"/>
      <c r="H158" s="253">
        <v>118</v>
      </c>
      <c r="I158" s="254">
        <v>48</v>
      </c>
      <c r="J158" s="251">
        <v>4</v>
      </c>
      <c r="K158" s="251"/>
      <c r="L158" s="253">
        <v>114</v>
      </c>
      <c r="M158" s="251">
        <v>50</v>
      </c>
      <c r="N158" s="254">
        <v>4</v>
      </c>
      <c r="O158" s="270"/>
      <c r="P158" s="253">
        <v>107</v>
      </c>
      <c r="Q158" s="251">
        <v>47</v>
      </c>
      <c r="R158" s="254">
        <v>4</v>
      </c>
      <c r="S158" s="259"/>
      <c r="T158" s="253">
        <v>99</v>
      </c>
      <c r="U158" s="251">
        <v>40</v>
      </c>
      <c r="V158" s="254">
        <v>4</v>
      </c>
      <c r="W158" s="269"/>
      <c r="X158" s="320">
        <v>0</v>
      </c>
      <c r="Y158" s="320">
        <v>0</v>
      </c>
      <c r="Z158" s="320">
        <v>0</v>
      </c>
      <c r="AA158" s="253">
        <f>D158+H158+L158+P158+T158+X158</f>
        <v>548</v>
      </c>
      <c r="AB158" s="251">
        <f>E158+I158+M158+Q158+U158+Y158</f>
        <v>224</v>
      </c>
      <c r="AC158" s="253">
        <v>60</v>
      </c>
      <c r="AD158" s="254">
        <v>35</v>
      </c>
      <c r="AE158" s="251">
        <f>F158+J158+N158+R158+V158+Z158</f>
        <v>20</v>
      </c>
    </row>
    <row r="159" spans="1:31" x14ac:dyDescent="0.25">
      <c r="A159" s="251">
        <v>5</v>
      </c>
      <c r="B159" s="268" t="s">
        <v>131</v>
      </c>
      <c r="C159" s="260" t="s">
        <v>15</v>
      </c>
      <c r="D159" s="349">
        <v>108</v>
      </c>
      <c r="E159" s="251">
        <v>58</v>
      </c>
      <c r="F159" s="254">
        <v>4</v>
      </c>
      <c r="G159" s="269"/>
      <c r="H159" s="253">
        <v>101</v>
      </c>
      <c r="I159" s="254">
        <v>62</v>
      </c>
      <c r="J159" s="251">
        <v>4</v>
      </c>
      <c r="K159" s="251"/>
      <c r="L159" s="253">
        <v>115</v>
      </c>
      <c r="M159" s="251">
        <v>51</v>
      </c>
      <c r="N159" s="254">
        <v>4</v>
      </c>
      <c r="O159" s="270"/>
      <c r="P159" s="253">
        <v>96</v>
      </c>
      <c r="Q159" s="251">
        <v>48</v>
      </c>
      <c r="R159" s="254">
        <v>4</v>
      </c>
      <c r="S159" s="259"/>
      <c r="T159" s="253">
        <v>93</v>
      </c>
      <c r="U159" s="251">
        <v>36</v>
      </c>
      <c r="V159" s="254">
        <v>4</v>
      </c>
      <c r="W159" s="269"/>
      <c r="X159" s="320">
        <v>0</v>
      </c>
      <c r="Y159" s="320">
        <v>0</v>
      </c>
      <c r="Z159" s="320">
        <v>0</v>
      </c>
      <c r="AA159" s="253">
        <f>D159+H159+L159+P159+T159+X159</f>
        <v>513</v>
      </c>
      <c r="AB159" s="251">
        <f>E159+I159+M159+Q159+U159+Y159</f>
        <v>255</v>
      </c>
      <c r="AC159" s="276">
        <v>42</v>
      </c>
      <c r="AD159" s="193">
        <v>21</v>
      </c>
      <c r="AE159" s="251">
        <f>F159+J159+N159+R159+V159+Z159</f>
        <v>20</v>
      </c>
    </row>
    <row r="160" spans="1:31" x14ac:dyDescent="0.25">
      <c r="A160" s="251">
        <v>6</v>
      </c>
      <c r="B160" s="268" t="s">
        <v>131</v>
      </c>
      <c r="C160" s="252" t="s">
        <v>16</v>
      </c>
      <c r="D160" s="253">
        <v>108</v>
      </c>
      <c r="E160" s="251">
        <v>53</v>
      </c>
      <c r="F160" s="254">
        <v>4</v>
      </c>
      <c r="G160" s="269"/>
      <c r="H160" s="253">
        <v>107</v>
      </c>
      <c r="I160" s="254">
        <v>48</v>
      </c>
      <c r="J160" s="251">
        <v>4</v>
      </c>
      <c r="K160" s="251"/>
      <c r="L160" s="253">
        <v>57</v>
      </c>
      <c r="M160" s="251">
        <v>34</v>
      </c>
      <c r="N160" s="254">
        <v>2</v>
      </c>
      <c r="O160" s="270"/>
      <c r="P160" s="253">
        <v>75</v>
      </c>
      <c r="Q160" s="251">
        <v>30</v>
      </c>
      <c r="R160" s="254">
        <v>3</v>
      </c>
      <c r="S160" s="270"/>
      <c r="T160" s="253">
        <v>101</v>
      </c>
      <c r="U160" s="251">
        <v>54</v>
      </c>
      <c r="V160" s="254">
        <v>4</v>
      </c>
      <c r="W160" s="269"/>
      <c r="X160" s="320">
        <v>0</v>
      </c>
      <c r="Y160" s="320">
        <v>0</v>
      </c>
      <c r="Z160" s="320">
        <v>0</v>
      </c>
      <c r="AA160" s="253">
        <f>D160+H160+L160+P160+T160+X160</f>
        <v>448</v>
      </c>
      <c r="AB160" s="251">
        <f>E160+I160+M160+Q160+U160+Y160</f>
        <v>219</v>
      </c>
      <c r="AC160" s="253">
        <v>6</v>
      </c>
      <c r="AD160" s="254">
        <v>3</v>
      </c>
      <c r="AE160" s="251">
        <f>F160+J160+N160+R160+V160+Z160</f>
        <v>17</v>
      </c>
    </row>
    <row r="161" spans="1:31" ht="30" x14ac:dyDescent="0.25">
      <c r="A161" s="251">
        <v>7</v>
      </c>
      <c r="B161" s="268" t="s">
        <v>131</v>
      </c>
      <c r="C161" s="252" t="s">
        <v>17</v>
      </c>
      <c r="D161" s="253">
        <v>58</v>
      </c>
      <c r="E161" s="251">
        <v>33</v>
      </c>
      <c r="F161" s="254">
        <v>2</v>
      </c>
      <c r="G161" s="269"/>
      <c r="H161" s="253">
        <v>42</v>
      </c>
      <c r="I161" s="254">
        <v>21</v>
      </c>
      <c r="J161" s="251">
        <v>2</v>
      </c>
      <c r="K161" s="251"/>
      <c r="L161" s="253">
        <v>53</v>
      </c>
      <c r="M161" s="251">
        <v>15</v>
      </c>
      <c r="N161" s="254">
        <v>2</v>
      </c>
      <c r="O161" s="270"/>
      <c r="P161" s="253">
        <v>92</v>
      </c>
      <c r="Q161" s="251">
        <v>42</v>
      </c>
      <c r="R161" s="254">
        <v>3</v>
      </c>
      <c r="S161" s="269"/>
      <c r="T161" s="253">
        <v>56</v>
      </c>
      <c r="U161" s="251">
        <v>30</v>
      </c>
      <c r="V161" s="254">
        <v>3</v>
      </c>
      <c r="W161" s="269"/>
      <c r="X161" s="320">
        <v>0</v>
      </c>
      <c r="Y161" s="320">
        <v>0</v>
      </c>
      <c r="Z161" s="320">
        <v>0</v>
      </c>
      <c r="AA161" s="253">
        <f>D161+H161+L161+P161+T161+X161</f>
        <v>301</v>
      </c>
      <c r="AB161" s="251">
        <f>E161+I161+M161+Q161+U161+Y161</f>
        <v>141</v>
      </c>
      <c r="AC161" s="276">
        <v>38</v>
      </c>
      <c r="AD161" s="193">
        <v>23</v>
      </c>
      <c r="AE161" s="251">
        <f>F161+J161+N161+R161+V161+Z161</f>
        <v>12</v>
      </c>
    </row>
    <row r="162" spans="1:31" x14ac:dyDescent="0.25">
      <c r="A162" s="251">
        <v>8</v>
      </c>
      <c r="B162" s="268" t="s">
        <v>131</v>
      </c>
      <c r="C162" s="260" t="s">
        <v>18</v>
      </c>
      <c r="D162" s="253">
        <v>108</v>
      </c>
      <c r="E162" s="251">
        <v>54</v>
      </c>
      <c r="F162" s="254">
        <v>4</v>
      </c>
      <c r="G162" s="269"/>
      <c r="H162" s="253">
        <v>114</v>
      </c>
      <c r="I162" s="254">
        <v>55</v>
      </c>
      <c r="J162" s="251">
        <v>4</v>
      </c>
      <c r="K162" s="251"/>
      <c r="L162" s="253">
        <v>89</v>
      </c>
      <c r="M162" s="251">
        <v>37</v>
      </c>
      <c r="N162" s="254">
        <v>4</v>
      </c>
      <c r="O162" s="270"/>
      <c r="P162" s="253">
        <v>104</v>
      </c>
      <c r="Q162" s="251">
        <v>48</v>
      </c>
      <c r="R162" s="254">
        <v>4</v>
      </c>
      <c r="S162" s="259"/>
      <c r="T162" s="253">
        <v>93</v>
      </c>
      <c r="U162" s="251">
        <v>43</v>
      </c>
      <c r="V162" s="254">
        <v>4</v>
      </c>
      <c r="W162" s="269"/>
      <c r="X162" s="320">
        <v>0</v>
      </c>
      <c r="Y162" s="320">
        <v>0</v>
      </c>
      <c r="Z162" s="320">
        <v>0</v>
      </c>
      <c r="AA162" s="253">
        <f>D162+H162+L162+P162+T162+X162</f>
        <v>508</v>
      </c>
      <c r="AB162" s="251">
        <f>E162+I162+M162+Q162+U162+Y162</f>
        <v>237</v>
      </c>
      <c r="AC162" s="253">
        <v>31</v>
      </c>
      <c r="AD162" s="254">
        <v>16</v>
      </c>
      <c r="AE162" s="251">
        <f>F162+J162+N162+R162+V162+Z162</f>
        <v>20</v>
      </c>
    </row>
    <row r="163" spans="1:31" ht="28.2" x14ac:dyDescent="0.25">
      <c r="A163" s="251">
        <v>9</v>
      </c>
      <c r="B163" s="268" t="s">
        <v>131</v>
      </c>
      <c r="C163" s="252" t="s">
        <v>84</v>
      </c>
      <c r="D163" s="253">
        <v>117</v>
      </c>
      <c r="E163" s="251">
        <v>52</v>
      </c>
      <c r="F163" s="254">
        <v>4</v>
      </c>
      <c r="G163" s="269"/>
      <c r="H163" s="253">
        <v>115</v>
      </c>
      <c r="I163" s="254">
        <v>48</v>
      </c>
      <c r="J163" s="251">
        <v>4</v>
      </c>
      <c r="K163" s="360"/>
      <c r="L163" s="253">
        <v>109</v>
      </c>
      <c r="M163" s="251">
        <v>39</v>
      </c>
      <c r="N163" s="254">
        <v>4</v>
      </c>
      <c r="O163" s="269"/>
      <c r="P163" s="253">
        <v>82</v>
      </c>
      <c r="Q163" s="251">
        <v>32</v>
      </c>
      <c r="R163" s="254">
        <v>3</v>
      </c>
      <c r="S163" s="259"/>
      <c r="T163" s="253">
        <v>58</v>
      </c>
      <c r="U163" s="251">
        <v>34</v>
      </c>
      <c r="V163" s="254">
        <v>2</v>
      </c>
      <c r="W163" s="269"/>
      <c r="X163" s="320">
        <v>0</v>
      </c>
      <c r="Y163" s="320">
        <v>0</v>
      </c>
      <c r="Z163" s="320">
        <v>0</v>
      </c>
      <c r="AA163" s="253">
        <f>D163+H163+L163+P163+T163+X163</f>
        <v>481</v>
      </c>
      <c r="AB163" s="251">
        <f>E163+I163+M163+Q163+U163+Y163</f>
        <v>205</v>
      </c>
      <c r="AC163" s="276">
        <v>24</v>
      </c>
      <c r="AD163" s="193">
        <v>9</v>
      </c>
      <c r="AE163" s="251">
        <f>F163+J163+N163+R163+V163+Z163</f>
        <v>17</v>
      </c>
    </row>
    <row r="164" spans="1:31" ht="15.6" x14ac:dyDescent="0.25">
      <c r="A164" s="251">
        <v>10</v>
      </c>
      <c r="B164" s="268" t="s">
        <v>131</v>
      </c>
      <c r="C164" s="277" t="s">
        <v>20</v>
      </c>
      <c r="D164" s="349">
        <v>110</v>
      </c>
      <c r="E164" s="251">
        <v>60</v>
      </c>
      <c r="F164" s="254">
        <v>4</v>
      </c>
      <c r="G164" s="269"/>
      <c r="H164" s="253">
        <v>111</v>
      </c>
      <c r="I164" s="254">
        <v>57</v>
      </c>
      <c r="J164" s="251">
        <v>4</v>
      </c>
      <c r="K164" s="360"/>
      <c r="L164" s="253">
        <v>114</v>
      </c>
      <c r="M164" s="251">
        <v>57</v>
      </c>
      <c r="N164" s="254">
        <v>4</v>
      </c>
      <c r="O164" s="269"/>
      <c r="P164" s="253">
        <v>109</v>
      </c>
      <c r="Q164" s="251">
        <v>47</v>
      </c>
      <c r="R164" s="254">
        <v>4</v>
      </c>
      <c r="S164" s="269"/>
      <c r="T164" s="253">
        <v>98</v>
      </c>
      <c r="U164" s="251">
        <v>45</v>
      </c>
      <c r="V164" s="254">
        <v>4</v>
      </c>
      <c r="W164" s="269"/>
      <c r="X164" s="320">
        <v>0</v>
      </c>
      <c r="Y164" s="320">
        <v>0</v>
      </c>
      <c r="Z164" s="320">
        <v>0</v>
      </c>
      <c r="AA164" s="253">
        <f>D164+H164+L164+P164+T164+X164</f>
        <v>542</v>
      </c>
      <c r="AB164" s="251">
        <f>E164+I164+M164+Q164+U164+Y164</f>
        <v>266</v>
      </c>
      <c r="AC164" s="253">
        <v>13</v>
      </c>
      <c r="AD164" s="254">
        <v>8</v>
      </c>
      <c r="AE164" s="251">
        <f>F164+J164+N164+R164+V164+Z164</f>
        <v>20</v>
      </c>
    </row>
    <row r="165" spans="1:31" ht="15.6" x14ac:dyDescent="0.25">
      <c r="A165" s="268">
        <v>11</v>
      </c>
      <c r="B165" s="268" t="s">
        <v>131</v>
      </c>
      <c r="C165" s="299" t="s">
        <v>21</v>
      </c>
      <c r="D165" s="219">
        <v>140</v>
      </c>
      <c r="E165" s="268">
        <v>61</v>
      </c>
      <c r="F165" s="198">
        <v>5</v>
      </c>
      <c r="G165" s="300"/>
      <c r="H165" s="271">
        <v>118</v>
      </c>
      <c r="I165" s="198">
        <v>55</v>
      </c>
      <c r="J165" s="251">
        <v>4</v>
      </c>
      <c r="K165" s="360"/>
      <c r="L165" s="253">
        <v>118</v>
      </c>
      <c r="M165" s="268">
        <v>40</v>
      </c>
      <c r="N165" s="198">
        <v>4</v>
      </c>
      <c r="O165" s="300"/>
      <c r="P165" s="271">
        <v>121</v>
      </c>
      <c r="Q165" s="268">
        <v>58</v>
      </c>
      <c r="R165" s="198">
        <v>4</v>
      </c>
      <c r="S165" s="255"/>
      <c r="T165" s="271">
        <v>104</v>
      </c>
      <c r="U165" s="268">
        <v>44</v>
      </c>
      <c r="V165" s="198">
        <v>4</v>
      </c>
      <c r="W165" s="300"/>
      <c r="X165" s="320">
        <v>0</v>
      </c>
      <c r="Y165" s="320">
        <v>0</v>
      </c>
      <c r="Z165" s="320">
        <v>0</v>
      </c>
      <c r="AA165" s="271">
        <f>D165+H165+L165+P165+T165+X165</f>
        <v>601</v>
      </c>
      <c r="AB165" s="268">
        <f>E165+I165+M165+Q165+U165+Y165</f>
        <v>258</v>
      </c>
      <c r="AC165" s="276">
        <v>26</v>
      </c>
      <c r="AD165" s="193">
        <v>15</v>
      </c>
      <c r="AE165" s="268">
        <f>F165+J165+N165+R165+V165+Z165</f>
        <v>21</v>
      </c>
    </row>
    <row r="166" spans="1:31" ht="31.2" x14ac:dyDescent="0.25">
      <c r="A166" s="253"/>
      <c r="B166" s="253" t="s">
        <v>131</v>
      </c>
      <c r="C166" s="302" t="s">
        <v>53</v>
      </c>
      <c r="D166" s="274">
        <f>SUM(D155:D165)</f>
        <v>1216</v>
      </c>
      <c r="E166" s="274">
        <f>SUM(E155:E165)</f>
        <v>575</v>
      </c>
      <c r="F166" s="361">
        <f>SUM(F155:F165)</f>
        <v>44</v>
      </c>
      <c r="G166" s="362"/>
      <c r="H166" s="274">
        <f>SUM(H155:H165)</f>
        <v>1163</v>
      </c>
      <c r="I166" s="346">
        <f>SUM(I155:I165)</f>
        <v>577</v>
      </c>
      <c r="J166" s="389">
        <f>SUM(J155:J165)</f>
        <v>43</v>
      </c>
      <c r="K166" s="389"/>
      <c r="L166" s="274">
        <f>SUM(L155:L165)</f>
        <v>1075</v>
      </c>
      <c r="M166" s="274">
        <f>SUM(M155:M165)</f>
        <v>477</v>
      </c>
      <c r="N166" s="361">
        <f>SUM(N155:N165)</f>
        <v>39</v>
      </c>
      <c r="O166" s="362"/>
      <c r="P166" s="274">
        <f>SUM(P155:P165)</f>
        <v>1088</v>
      </c>
      <c r="Q166" s="274">
        <f>SUM(Q155:Q165)</f>
        <v>496</v>
      </c>
      <c r="R166" s="361">
        <f>SUM(R155:R165)</f>
        <v>41</v>
      </c>
      <c r="S166" s="362"/>
      <c r="T166" s="274">
        <f>SUM(T155:T165)</f>
        <v>1031</v>
      </c>
      <c r="U166" s="274">
        <f>SUM(U155:U165)</f>
        <v>475</v>
      </c>
      <c r="V166" s="361">
        <f>SUM(V155:V165)</f>
        <v>41</v>
      </c>
      <c r="W166" s="362"/>
      <c r="X166" s="274">
        <f>X157</f>
        <v>85</v>
      </c>
      <c r="Y166" s="274">
        <f t="shared" ref="Y166:Z166" si="18">Y157</f>
        <v>48</v>
      </c>
      <c r="Z166" s="274">
        <f t="shared" si="18"/>
        <v>3</v>
      </c>
      <c r="AA166" s="274">
        <f>SUM(AA155:AA165)</f>
        <v>5658</v>
      </c>
      <c r="AB166" s="274">
        <f t="shared" ref="AB166:AE166" si="19">SUM(AB155:AB165)</f>
        <v>2648</v>
      </c>
      <c r="AC166" s="274">
        <f t="shared" si="19"/>
        <v>358</v>
      </c>
      <c r="AD166" s="274">
        <f t="shared" si="19"/>
        <v>195</v>
      </c>
      <c r="AE166" s="274">
        <f t="shared" si="19"/>
        <v>211</v>
      </c>
    </row>
    <row r="167" spans="1:31" x14ac:dyDescent="0.25">
      <c r="A167" s="83" t="s">
        <v>128</v>
      </c>
    </row>
  </sheetData>
  <mergeCells count="84">
    <mergeCell ref="F166:G166"/>
    <mergeCell ref="J166:K166"/>
    <mergeCell ref="N166:O166"/>
    <mergeCell ref="R166:S166"/>
    <mergeCell ref="V166:W166"/>
    <mergeCell ref="F153:G153"/>
    <mergeCell ref="J153:K153"/>
    <mergeCell ref="N153:O153"/>
    <mergeCell ref="R153:S153"/>
    <mergeCell ref="V153:W153"/>
    <mergeCell ref="F126:G126"/>
    <mergeCell ref="J126:K126"/>
    <mergeCell ref="N126:O126"/>
    <mergeCell ref="R126:S126"/>
    <mergeCell ref="V126:W126"/>
    <mergeCell ref="X105:Z107"/>
    <mergeCell ref="X109:Z112"/>
    <mergeCell ref="X108:Z108"/>
    <mergeCell ref="X62:Z73"/>
    <mergeCell ref="X89:Z90"/>
    <mergeCell ref="X92:Z99"/>
    <mergeCell ref="X76:Z87"/>
    <mergeCell ref="X102:Z103"/>
    <mergeCell ref="F7:G7"/>
    <mergeCell ref="J7:K7"/>
    <mergeCell ref="R7:S7"/>
    <mergeCell ref="V7:W7"/>
    <mergeCell ref="F73:G73"/>
    <mergeCell ref="J73:K73"/>
    <mergeCell ref="N73:O73"/>
    <mergeCell ref="R73:S73"/>
    <mergeCell ref="V73:W73"/>
    <mergeCell ref="N7:O7"/>
    <mergeCell ref="F87:G87"/>
    <mergeCell ref="J87:K87"/>
    <mergeCell ref="N87:O87"/>
    <mergeCell ref="Q5:Q6"/>
    <mergeCell ref="P5:P6"/>
    <mergeCell ref="P4:R4"/>
    <mergeCell ref="AE4:AE6"/>
    <mergeCell ref="X4:Z4"/>
    <mergeCell ref="AA4:AD4"/>
    <mergeCell ref="AA5:AB5"/>
    <mergeCell ref="Z5:Z6"/>
    <mergeCell ref="Y5:Y6"/>
    <mergeCell ref="AC5:AD5"/>
    <mergeCell ref="T4:W4"/>
    <mergeCell ref="X5:X6"/>
    <mergeCell ref="T5:T6"/>
    <mergeCell ref="U5:U6"/>
    <mergeCell ref="R5:S6"/>
    <mergeCell ref="V5:W6"/>
    <mergeCell ref="A4:A6"/>
    <mergeCell ref="D5:D6"/>
    <mergeCell ref="E5:E6"/>
    <mergeCell ref="L4:O4"/>
    <mergeCell ref="N5:O6"/>
    <mergeCell ref="D4:G4"/>
    <mergeCell ref="B4:B6"/>
    <mergeCell ref="C4:C6"/>
    <mergeCell ref="H4:K4"/>
    <mergeCell ref="F5:G6"/>
    <mergeCell ref="I5:I6"/>
    <mergeCell ref="M5:M6"/>
    <mergeCell ref="L5:L6"/>
    <mergeCell ref="H5:H6"/>
    <mergeCell ref="J5:K6"/>
    <mergeCell ref="R87:S87"/>
    <mergeCell ref="V87:W87"/>
    <mergeCell ref="F100:G100"/>
    <mergeCell ref="J100:K100"/>
    <mergeCell ref="N100:O100"/>
    <mergeCell ref="R100:S100"/>
    <mergeCell ref="V100:W100"/>
    <mergeCell ref="F113:G113"/>
    <mergeCell ref="J113:K113"/>
    <mergeCell ref="N113:O113"/>
    <mergeCell ref="R113:S113"/>
    <mergeCell ref="V113:W113"/>
    <mergeCell ref="F140:G140"/>
    <mergeCell ref="J140:K140"/>
    <mergeCell ref="N140:O140"/>
    <mergeCell ref="R140:S140"/>
    <mergeCell ref="V140:W140"/>
  </mergeCells>
  <phoneticPr fontId="0" type="noConversion"/>
  <pageMargins left="0.47244094488188981" right="0.23622047244094491" top="0.78740157480314965" bottom="0.47244094488188981" header="0.55118110236220474" footer="0.19685039370078741"/>
  <pageSetup paperSize="9" scale="83" fitToHeight="0" orientation="landscape" horizontalDpi="1200" verticalDpi="1200" r:id="rId1"/>
  <headerFooter alignWithMargins="0">
    <oddHeader>&amp;C&amp;"Arial,Fett"&amp;12  &amp;R&amp;12Amt&amp;"Arial,Fett" für Schule und Weiterbildung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3"/>
  <sheetViews>
    <sheetView zoomScaleNormal="100" workbookViewId="0">
      <selection activeCell="M30" sqref="M30"/>
    </sheetView>
  </sheetViews>
  <sheetFormatPr baseColWidth="10" defaultColWidth="28.44140625" defaultRowHeight="20.100000000000001" customHeight="1" x14ac:dyDescent="0.25"/>
  <cols>
    <col min="1" max="1" width="4.88671875" style="116" customWidth="1"/>
    <col min="2" max="2" width="12.109375" style="116" bestFit="1" customWidth="1"/>
    <col min="3" max="3" width="29.44140625" style="117" customWidth="1"/>
    <col min="4" max="12" width="6.6640625" style="116" customWidth="1"/>
    <col min="13" max="13" width="6.33203125" style="116" customWidth="1"/>
    <col min="14" max="14" width="7.33203125" style="116" customWidth="1"/>
    <col min="15" max="18" width="6.6640625" style="116" customWidth="1"/>
    <col min="19" max="19" width="8.44140625" style="116" customWidth="1"/>
    <col min="20" max="22" width="6.6640625" style="116" customWidth="1"/>
    <col min="23" max="16384" width="28.44140625" style="117"/>
  </cols>
  <sheetData>
    <row r="1" spans="1:23" s="115" customFormat="1" ht="16.5" customHeight="1" x14ac:dyDescent="0.3">
      <c r="A1" s="111" t="s">
        <v>135</v>
      </c>
      <c r="B1" s="112"/>
      <c r="C1" s="113"/>
      <c r="D1" s="112"/>
      <c r="E1" s="112"/>
      <c r="F1" s="112"/>
      <c r="G1" s="112"/>
      <c r="H1" s="112"/>
      <c r="I1" s="112"/>
      <c r="J1" s="112"/>
      <c r="K1" s="114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23" ht="15.75" customHeight="1" x14ac:dyDescent="0.25"/>
    <row r="3" spans="1:23" ht="20.100000000000001" customHeight="1" x14ac:dyDescent="0.25">
      <c r="A3" s="370" t="s">
        <v>28</v>
      </c>
      <c r="B3" s="392" t="s">
        <v>0</v>
      </c>
      <c r="C3" s="393" t="s">
        <v>95</v>
      </c>
      <c r="D3" s="392" t="s">
        <v>67</v>
      </c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</row>
    <row r="4" spans="1:23" ht="20.100000000000001" customHeight="1" x14ac:dyDescent="0.25">
      <c r="A4" s="370"/>
      <c r="B4" s="392"/>
      <c r="C4" s="393"/>
      <c r="D4" s="392" t="s">
        <v>68</v>
      </c>
      <c r="E4" s="392"/>
      <c r="F4" s="394"/>
      <c r="G4" s="395" t="s">
        <v>111</v>
      </c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4"/>
      <c r="S4" s="396" t="s">
        <v>69</v>
      </c>
      <c r="T4" s="370"/>
      <c r="U4" s="370"/>
      <c r="V4" s="370"/>
    </row>
    <row r="5" spans="1:23" ht="30" customHeight="1" x14ac:dyDescent="0.25">
      <c r="A5" s="370"/>
      <c r="B5" s="392"/>
      <c r="C5" s="392"/>
      <c r="D5" s="393" t="s">
        <v>30</v>
      </c>
      <c r="E5" s="393"/>
      <c r="F5" s="397"/>
      <c r="G5" s="395" t="s">
        <v>130</v>
      </c>
      <c r="H5" s="392"/>
      <c r="I5" s="392" t="s">
        <v>132</v>
      </c>
      <c r="J5" s="392"/>
      <c r="K5" s="392" t="s">
        <v>93</v>
      </c>
      <c r="L5" s="392"/>
      <c r="M5" s="392" t="s">
        <v>56</v>
      </c>
      <c r="N5" s="392"/>
      <c r="O5" s="393" t="s">
        <v>30</v>
      </c>
      <c r="P5" s="393"/>
      <c r="Q5" s="370" t="s">
        <v>97</v>
      </c>
      <c r="R5" s="398"/>
      <c r="S5" s="399" t="s">
        <v>30</v>
      </c>
      <c r="T5" s="393"/>
      <c r="U5" s="370" t="s">
        <v>97</v>
      </c>
      <c r="V5" s="370"/>
    </row>
    <row r="6" spans="1:23" ht="20.100000000000001" customHeight="1" x14ac:dyDescent="0.25">
      <c r="A6" s="370"/>
      <c r="B6" s="392"/>
      <c r="C6" s="392"/>
      <c r="D6" s="303" t="s">
        <v>8</v>
      </c>
      <c r="E6" s="357" t="s">
        <v>49</v>
      </c>
      <c r="F6" s="359" t="s">
        <v>10</v>
      </c>
      <c r="G6" s="340" t="s">
        <v>8</v>
      </c>
      <c r="H6" s="357" t="s">
        <v>49</v>
      </c>
      <c r="I6" s="303" t="s">
        <v>8</v>
      </c>
      <c r="J6" s="357" t="s">
        <v>49</v>
      </c>
      <c r="K6" s="303" t="s">
        <v>8</v>
      </c>
      <c r="L6" s="357" t="s">
        <v>49</v>
      </c>
      <c r="M6" s="303" t="s">
        <v>8</v>
      </c>
      <c r="N6" s="357" t="s">
        <v>49</v>
      </c>
      <c r="O6" s="303" t="s">
        <v>8</v>
      </c>
      <c r="P6" s="357" t="s">
        <v>49</v>
      </c>
      <c r="Q6" s="303" t="s">
        <v>8</v>
      </c>
      <c r="R6" s="359" t="s">
        <v>49</v>
      </c>
      <c r="S6" s="340" t="s">
        <v>8</v>
      </c>
      <c r="T6" s="357" t="s">
        <v>49</v>
      </c>
      <c r="U6" s="303" t="s">
        <v>8</v>
      </c>
      <c r="V6" s="357" t="s">
        <v>49</v>
      </c>
    </row>
    <row r="7" spans="1:23" ht="15.6" x14ac:dyDescent="0.25">
      <c r="A7" s="304">
        <v>1</v>
      </c>
      <c r="B7" s="304">
        <v>2</v>
      </c>
      <c r="C7" s="304">
        <v>2</v>
      </c>
      <c r="D7" s="298">
        <v>3</v>
      </c>
      <c r="E7" s="304">
        <v>4</v>
      </c>
      <c r="F7" s="341">
        <v>5</v>
      </c>
      <c r="G7" s="342">
        <v>6</v>
      </c>
      <c r="H7" s="304">
        <v>7</v>
      </c>
      <c r="I7" s="298">
        <v>8</v>
      </c>
      <c r="J7" s="304">
        <v>9</v>
      </c>
      <c r="K7" s="298">
        <v>10</v>
      </c>
      <c r="L7" s="304">
        <v>11</v>
      </c>
      <c r="M7" s="298">
        <v>11</v>
      </c>
      <c r="N7" s="304">
        <v>12</v>
      </c>
      <c r="O7" s="298">
        <v>12</v>
      </c>
      <c r="P7" s="304">
        <v>13</v>
      </c>
      <c r="Q7" s="298">
        <v>16</v>
      </c>
      <c r="R7" s="341">
        <v>17</v>
      </c>
      <c r="S7" s="342">
        <v>18</v>
      </c>
      <c r="T7" s="304">
        <v>19</v>
      </c>
      <c r="U7" s="298">
        <v>20</v>
      </c>
      <c r="V7" s="304">
        <v>21</v>
      </c>
    </row>
    <row r="8" spans="1:23" ht="30.6" x14ac:dyDescent="0.3">
      <c r="A8" s="104">
        <v>1</v>
      </c>
      <c r="B8" s="104" t="s">
        <v>66</v>
      </c>
      <c r="C8" s="119" t="s">
        <v>11</v>
      </c>
      <c r="D8" s="120">
        <f>Sek_1!AA8</f>
        <v>722</v>
      </c>
      <c r="E8" s="104">
        <f>Sek_1!AB8</f>
        <v>382</v>
      </c>
      <c r="F8" s="104">
        <f>Sek_1!AE8</f>
        <v>24</v>
      </c>
      <c r="G8" s="120">
        <v>128</v>
      </c>
      <c r="H8" s="104">
        <v>85</v>
      </c>
      <c r="I8" s="120">
        <v>140</v>
      </c>
      <c r="J8" s="104">
        <v>80</v>
      </c>
      <c r="K8" s="120">
        <v>186</v>
      </c>
      <c r="L8" s="104">
        <v>132</v>
      </c>
      <c r="M8" s="120">
        <v>151</v>
      </c>
      <c r="N8" s="104">
        <v>102</v>
      </c>
      <c r="O8" s="104">
        <f>G8+I8+K8+M8</f>
        <v>605</v>
      </c>
      <c r="P8" s="104">
        <f>H8+J8+L8+N8</f>
        <v>399</v>
      </c>
      <c r="Q8" s="120">
        <v>10</v>
      </c>
      <c r="R8" s="104">
        <v>7</v>
      </c>
      <c r="S8" s="330">
        <f>D8+O8</f>
        <v>1327</v>
      </c>
      <c r="T8" s="104">
        <f>E8+P8</f>
        <v>781</v>
      </c>
      <c r="U8" s="104">
        <f>Sek_1!AC8+Sek_2!Q8</f>
        <v>26</v>
      </c>
      <c r="V8" s="104">
        <f>Sek_1!AD8+Sek_2!R8</f>
        <v>15</v>
      </c>
    </row>
    <row r="9" spans="1:23" ht="45.6" x14ac:dyDescent="0.3">
      <c r="A9" s="104">
        <v>2</v>
      </c>
      <c r="B9" s="104" t="s">
        <v>66</v>
      </c>
      <c r="C9" s="119" t="s">
        <v>54</v>
      </c>
      <c r="D9" s="120">
        <f>Sek_1!AA9</f>
        <v>698</v>
      </c>
      <c r="E9" s="104">
        <f>Sek_1!AB9</f>
        <v>318</v>
      </c>
      <c r="F9" s="104">
        <f>Sek_1!AE9</f>
        <v>24</v>
      </c>
      <c r="G9" s="120">
        <v>116</v>
      </c>
      <c r="H9" s="104">
        <v>60</v>
      </c>
      <c r="I9" s="120">
        <v>101</v>
      </c>
      <c r="J9" s="104">
        <v>53</v>
      </c>
      <c r="K9" s="120">
        <v>88</v>
      </c>
      <c r="L9" s="104">
        <v>45</v>
      </c>
      <c r="M9" s="120">
        <v>106</v>
      </c>
      <c r="N9" s="104">
        <v>48</v>
      </c>
      <c r="O9" s="104">
        <f>G9+I9+K9+M9</f>
        <v>411</v>
      </c>
      <c r="P9" s="104">
        <f>H9+J9+L9+N9</f>
        <v>206</v>
      </c>
      <c r="Q9" s="120">
        <v>14</v>
      </c>
      <c r="R9" s="104">
        <v>8</v>
      </c>
      <c r="S9" s="330">
        <f>D9+O9</f>
        <v>1109</v>
      </c>
      <c r="T9" s="104">
        <f>E9+P9</f>
        <v>524</v>
      </c>
      <c r="U9" s="104">
        <f>Sek_1!AC9+Sek_2!Q9</f>
        <v>27</v>
      </c>
      <c r="V9" s="104">
        <f>Sek_1!AD9+Sek_2!R9</f>
        <v>15</v>
      </c>
    </row>
    <row r="10" spans="1:23" ht="30.6" x14ac:dyDescent="0.3">
      <c r="A10" s="104">
        <v>3</v>
      </c>
      <c r="B10" s="104" t="s">
        <v>66</v>
      </c>
      <c r="C10" s="119" t="s">
        <v>13</v>
      </c>
      <c r="D10" s="120">
        <f>Sek_1!AA10</f>
        <v>344</v>
      </c>
      <c r="E10" s="104">
        <f>Sek_1!AB10</f>
        <v>167</v>
      </c>
      <c r="F10" s="104">
        <f>Sek_1!AE10</f>
        <v>13</v>
      </c>
      <c r="G10" s="120">
        <v>84</v>
      </c>
      <c r="H10" s="104">
        <v>49</v>
      </c>
      <c r="I10" s="120">
        <v>90</v>
      </c>
      <c r="J10" s="104">
        <v>53</v>
      </c>
      <c r="K10" s="120">
        <v>117</v>
      </c>
      <c r="L10" s="104">
        <v>74</v>
      </c>
      <c r="M10" s="120">
        <v>94</v>
      </c>
      <c r="N10" s="104">
        <v>45</v>
      </c>
      <c r="O10" s="104">
        <f t="shared" ref="O10:O15" si="0">G10+I10+K10+M10</f>
        <v>385</v>
      </c>
      <c r="P10" s="104">
        <f t="shared" ref="P10:P15" si="1">H10+J10+L10+N10</f>
        <v>221</v>
      </c>
      <c r="Q10" s="120">
        <v>33</v>
      </c>
      <c r="R10" s="104">
        <v>17</v>
      </c>
      <c r="S10" s="330">
        <f>D10+O10</f>
        <v>729</v>
      </c>
      <c r="T10" s="104">
        <f>E10+P10</f>
        <v>388</v>
      </c>
      <c r="U10" s="104">
        <f>Sek_1!AC10+Sek_2!Q10</f>
        <v>52</v>
      </c>
      <c r="V10" s="104">
        <f>Sek_1!AD10+Sek_2!R10</f>
        <v>24</v>
      </c>
    </row>
    <row r="11" spans="1:23" ht="15.6" x14ac:dyDescent="0.3">
      <c r="A11" s="104">
        <v>4</v>
      </c>
      <c r="B11" s="104" t="s">
        <v>66</v>
      </c>
      <c r="C11" s="124" t="s">
        <v>14</v>
      </c>
      <c r="D11" s="120">
        <f>Sek_1!AA11</f>
        <v>620</v>
      </c>
      <c r="E11" s="104">
        <f>Sek_1!AB11</f>
        <v>251</v>
      </c>
      <c r="F11" s="104">
        <f>Sek_1!AE11</f>
        <v>20</v>
      </c>
      <c r="G11" s="120">
        <v>125</v>
      </c>
      <c r="H11" s="104">
        <v>67</v>
      </c>
      <c r="I11" s="120">
        <v>83</v>
      </c>
      <c r="J11" s="104">
        <v>39</v>
      </c>
      <c r="K11" s="120">
        <v>106</v>
      </c>
      <c r="L11" s="104">
        <v>37</v>
      </c>
      <c r="M11" s="120">
        <v>83</v>
      </c>
      <c r="N11" s="104">
        <v>34</v>
      </c>
      <c r="O11" s="104">
        <f t="shared" si="0"/>
        <v>397</v>
      </c>
      <c r="P11" s="104">
        <f t="shared" si="1"/>
        <v>177</v>
      </c>
      <c r="Q11" s="120">
        <v>31</v>
      </c>
      <c r="R11" s="104">
        <v>17</v>
      </c>
      <c r="S11" s="330">
        <f>D11+O11</f>
        <v>1017</v>
      </c>
      <c r="T11" s="104">
        <f>E11+P11</f>
        <v>428</v>
      </c>
      <c r="U11" s="104">
        <f>Sek_1!AC11+Sek_2!Q11</f>
        <v>68</v>
      </c>
      <c r="V11" s="104">
        <f>Sek_1!AD11+Sek_2!R11</f>
        <v>36</v>
      </c>
    </row>
    <row r="12" spans="1:23" ht="15.6" x14ac:dyDescent="0.3">
      <c r="A12" s="104">
        <v>5</v>
      </c>
      <c r="B12" s="104" t="s">
        <v>66</v>
      </c>
      <c r="C12" s="124" t="s">
        <v>15</v>
      </c>
      <c r="D12" s="120">
        <f>Sek_1!AA12</f>
        <v>703</v>
      </c>
      <c r="E12" s="104">
        <f>Sek_1!AB12</f>
        <v>385</v>
      </c>
      <c r="F12" s="104">
        <f>Sek_1!AE12</f>
        <v>24</v>
      </c>
      <c r="G12" s="120">
        <v>117</v>
      </c>
      <c r="H12" s="104">
        <v>55</v>
      </c>
      <c r="I12" s="120">
        <v>118</v>
      </c>
      <c r="J12" s="104">
        <v>65</v>
      </c>
      <c r="K12" s="120">
        <v>115</v>
      </c>
      <c r="L12" s="104">
        <v>60</v>
      </c>
      <c r="M12" s="120">
        <v>106</v>
      </c>
      <c r="N12" s="104">
        <v>54</v>
      </c>
      <c r="O12" s="104">
        <f t="shared" si="0"/>
        <v>456</v>
      </c>
      <c r="P12" s="104">
        <f t="shared" si="1"/>
        <v>234</v>
      </c>
      <c r="Q12" s="120">
        <v>6</v>
      </c>
      <c r="R12" s="104">
        <v>3</v>
      </c>
      <c r="S12" s="330">
        <f>D12+O12</f>
        <v>1159</v>
      </c>
      <c r="T12" s="104">
        <f>E12+P12</f>
        <v>619</v>
      </c>
      <c r="U12" s="104">
        <f>Sek_1!AC12+Sek_2!Q12</f>
        <v>13</v>
      </c>
      <c r="V12" s="104">
        <f>Sek_1!AD12+Sek_2!R12</f>
        <v>6</v>
      </c>
    </row>
    <row r="13" spans="1:23" ht="15.6" x14ac:dyDescent="0.3">
      <c r="A13" s="104">
        <v>6</v>
      </c>
      <c r="B13" s="104" t="s">
        <v>66</v>
      </c>
      <c r="C13" s="119" t="s">
        <v>16</v>
      </c>
      <c r="D13" s="120">
        <f>Sek_1!AA13</f>
        <v>553</v>
      </c>
      <c r="E13" s="104">
        <f>Sek_1!AB13</f>
        <v>287</v>
      </c>
      <c r="F13" s="104">
        <f>Sek_1!AE13</f>
        <v>19</v>
      </c>
      <c r="G13" s="120">
        <v>83</v>
      </c>
      <c r="H13" s="104">
        <v>52</v>
      </c>
      <c r="I13" s="120">
        <v>119</v>
      </c>
      <c r="J13" s="104">
        <v>72</v>
      </c>
      <c r="K13" s="120">
        <v>95</v>
      </c>
      <c r="L13" s="104">
        <v>51</v>
      </c>
      <c r="M13" s="120">
        <v>82</v>
      </c>
      <c r="N13" s="104">
        <v>40</v>
      </c>
      <c r="O13" s="104">
        <f t="shared" si="0"/>
        <v>379</v>
      </c>
      <c r="P13" s="104">
        <f t="shared" si="1"/>
        <v>215</v>
      </c>
      <c r="Q13" s="120">
        <v>13</v>
      </c>
      <c r="R13" s="104">
        <v>7</v>
      </c>
      <c r="S13" s="330">
        <f>D13+O13</f>
        <v>932</v>
      </c>
      <c r="T13" s="104">
        <f>E13+P13</f>
        <v>502</v>
      </c>
      <c r="U13" s="104">
        <f>Sek_1!AC13+Sek_2!Q13</f>
        <v>23</v>
      </c>
      <c r="V13" s="104">
        <f>Sek_1!AD13+Sek_2!R13</f>
        <v>12</v>
      </c>
    </row>
    <row r="14" spans="1:23" ht="30.6" x14ac:dyDescent="0.3">
      <c r="A14" s="104">
        <v>7</v>
      </c>
      <c r="B14" s="104" t="s">
        <v>66</v>
      </c>
      <c r="C14" s="119" t="s">
        <v>17</v>
      </c>
      <c r="D14" s="120">
        <f>Sek_1!AA14</f>
        <v>333</v>
      </c>
      <c r="E14" s="104">
        <f>Sek_1!AB14</f>
        <v>159</v>
      </c>
      <c r="F14" s="104">
        <f>Sek_1!AE14</f>
        <v>11</v>
      </c>
      <c r="G14" s="120">
        <v>63</v>
      </c>
      <c r="H14" s="104">
        <v>30</v>
      </c>
      <c r="I14" s="120">
        <v>61</v>
      </c>
      <c r="J14" s="104">
        <v>31</v>
      </c>
      <c r="K14" s="120">
        <v>60</v>
      </c>
      <c r="L14" s="104">
        <v>32</v>
      </c>
      <c r="M14" s="120">
        <v>36</v>
      </c>
      <c r="N14" s="104">
        <v>19</v>
      </c>
      <c r="O14" s="104">
        <f t="shared" si="0"/>
        <v>220</v>
      </c>
      <c r="P14" s="104">
        <f t="shared" si="1"/>
        <v>112</v>
      </c>
      <c r="Q14" s="120">
        <v>6</v>
      </c>
      <c r="R14" s="104">
        <v>3</v>
      </c>
      <c r="S14" s="330">
        <f>D14+O14</f>
        <v>553</v>
      </c>
      <c r="T14" s="104">
        <f>E14+P14</f>
        <v>271</v>
      </c>
      <c r="U14" s="104">
        <f>Sek_1!AC14+Sek_2!Q14</f>
        <v>8</v>
      </c>
      <c r="V14" s="104">
        <f>Sek_1!AD14+Sek_2!R14</f>
        <v>5</v>
      </c>
    </row>
    <row r="15" spans="1:23" ht="15.6" x14ac:dyDescent="0.3">
      <c r="A15" s="104">
        <v>8</v>
      </c>
      <c r="B15" s="104" t="s">
        <v>66</v>
      </c>
      <c r="C15" s="124" t="s">
        <v>18</v>
      </c>
      <c r="D15" s="120">
        <f>Sek_1!AA15</f>
        <v>598</v>
      </c>
      <c r="E15" s="104">
        <f>Sek_1!AB15</f>
        <v>339</v>
      </c>
      <c r="F15" s="104">
        <f>Sek_1!AE15</f>
        <v>21</v>
      </c>
      <c r="G15" s="120">
        <v>85</v>
      </c>
      <c r="H15" s="104">
        <v>56</v>
      </c>
      <c r="I15" s="120">
        <v>145</v>
      </c>
      <c r="J15" s="104">
        <v>77</v>
      </c>
      <c r="K15" s="120">
        <v>113</v>
      </c>
      <c r="L15" s="104">
        <v>61</v>
      </c>
      <c r="M15" s="120">
        <v>103</v>
      </c>
      <c r="N15" s="104">
        <v>59</v>
      </c>
      <c r="O15" s="104">
        <f t="shared" si="0"/>
        <v>446</v>
      </c>
      <c r="P15" s="104">
        <f t="shared" si="1"/>
        <v>253</v>
      </c>
      <c r="Q15" s="120">
        <v>11</v>
      </c>
      <c r="R15" s="104">
        <v>6</v>
      </c>
      <c r="S15" s="330">
        <f>D15+O15</f>
        <v>1044</v>
      </c>
      <c r="T15" s="104">
        <f>E15+P15</f>
        <v>592</v>
      </c>
      <c r="U15" s="104">
        <f>Sek_1!AC15+Sek_2!Q15</f>
        <v>26</v>
      </c>
      <c r="V15" s="104">
        <f>Sek_1!AD15+Sek_2!R15</f>
        <v>15</v>
      </c>
    </row>
    <row r="16" spans="1:23" ht="15.6" x14ac:dyDescent="0.3">
      <c r="A16" s="104">
        <v>9</v>
      </c>
      <c r="B16" s="104" t="s">
        <v>66</v>
      </c>
      <c r="C16" s="124" t="s">
        <v>19</v>
      </c>
      <c r="D16" s="120">
        <f>Sek_1!AA16</f>
        <v>439</v>
      </c>
      <c r="E16" s="104">
        <f>Sek_1!AB16</f>
        <v>192</v>
      </c>
      <c r="F16" s="104">
        <f>Sek_1!AE16</f>
        <v>15</v>
      </c>
      <c r="G16" s="120">
        <v>52</v>
      </c>
      <c r="H16" s="104">
        <v>23</v>
      </c>
      <c r="I16" s="120">
        <v>65</v>
      </c>
      <c r="J16" s="104">
        <v>33</v>
      </c>
      <c r="K16" s="120">
        <v>91</v>
      </c>
      <c r="L16" s="104">
        <v>34</v>
      </c>
      <c r="M16" s="120">
        <v>76</v>
      </c>
      <c r="N16" s="104">
        <v>28</v>
      </c>
      <c r="O16" s="104">
        <f t="shared" ref="O16:P18" si="2">G16+I16+K16+M16</f>
        <v>284</v>
      </c>
      <c r="P16" s="104">
        <f t="shared" si="2"/>
        <v>118</v>
      </c>
      <c r="Q16" s="120">
        <v>13</v>
      </c>
      <c r="R16" s="104">
        <v>8</v>
      </c>
      <c r="S16" s="330">
        <f>D16+O16</f>
        <v>723</v>
      </c>
      <c r="T16" s="104">
        <f>E16+P16</f>
        <v>310</v>
      </c>
      <c r="U16" s="104">
        <f>Sek_1!AC16+Sek_2!Q16</f>
        <v>22</v>
      </c>
      <c r="V16" s="104">
        <f>Sek_1!AD16+Sek_2!R16</f>
        <v>11</v>
      </c>
    </row>
    <row r="17" spans="1:22" ht="15.6" x14ac:dyDescent="0.3">
      <c r="A17" s="104">
        <v>10</v>
      </c>
      <c r="B17" s="104" t="s">
        <v>66</v>
      </c>
      <c r="C17" s="124" t="s">
        <v>20</v>
      </c>
      <c r="D17" s="120">
        <f>Sek_1!AA17</f>
        <v>478</v>
      </c>
      <c r="E17" s="104">
        <f>Sek_1!AB17</f>
        <v>205</v>
      </c>
      <c r="F17" s="104">
        <f>Sek_1!AE17</f>
        <v>16</v>
      </c>
      <c r="G17" s="120">
        <v>58</v>
      </c>
      <c r="H17" s="104">
        <v>28</v>
      </c>
      <c r="I17" s="120">
        <v>69</v>
      </c>
      <c r="J17" s="104">
        <v>29</v>
      </c>
      <c r="K17" s="120">
        <v>71</v>
      </c>
      <c r="L17" s="104">
        <v>34</v>
      </c>
      <c r="M17" s="120">
        <v>74</v>
      </c>
      <c r="N17" s="104">
        <v>27</v>
      </c>
      <c r="O17" s="104">
        <f t="shared" si="2"/>
        <v>272</v>
      </c>
      <c r="P17" s="104">
        <f t="shared" si="2"/>
        <v>118</v>
      </c>
      <c r="Q17" s="120">
        <v>5</v>
      </c>
      <c r="R17" s="104">
        <v>2</v>
      </c>
      <c r="S17" s="330">
        <f>D17+O17</f>
        <v>750</v>
      </c>
      <c r="T17" s="104">
        <f>E17+P17</f>
        <v>323</v>
      </c>
      <c r="U17" s="104">
        <f>Sek_1!AC17+Sek_2!Q17</f>
        <v>12</v>
      </c>
      <c r="V17" s="104">
        <f>Sek_1!AD17+Sek_2!R17</f>
        <v>4</v>
      </c>
    </row>
    <row r="18" spans="1:22" ht="15.6" x14ac:dyDescent="0.3">
      <c r="A18" s="104">
        <v>11</v>
      </c>
      <c r="B18" s="104" t="s">
        <v>66</v>
      </c>
      <c r="C18" s="119" t="s">
        <v>21</v>
      </c>
      <c r="D18" s="120">
        <f>Sek_1!AA18</f>
        <v>587</v>
      </c>
      <c r="E18" s="104">
        <f>Sek_1!AB18</f>
        <v>239</v>
      </c>
      <c r="F18" s="104">
        <f>Sek_1!AE18</f>
        <v>20</v>
      </c>
      <c r="G18" s="120">
        <v>74</v>
      </c>
      <c r="H18" s="104">
        <v>32</v>
      </c>
      <c r="I18" s="120">
        <v>85</v>
      </c>
      <c r="J18" s="104">
        <v>37</v>
      </c>
      <c r="K18" s="120">
        <v>102</v>
      </c>
      <c r="L18" s="104">
        <v>44</v>
      </c>
      <c r="M18" s="120">
        <v>108</v>
      </c>
      <c r="N18" s="104">
        <v>47</v>
      </c>
      <c r="O18" s="104">
        <f t="shared" si="2"/>
        <v>369</v>
      </c>
      <c r="P18" s="104">
        <f t="shared" si="2"/>
        <v>160</v>
      </c>
      <c r="Q18" s="120">
        <v>11</v>
      </c>
      <c r="R18" s="104">
        <v>4</v>
      </c>
      <c r="S18" s="330">
        <f>D18+O18</f>
        <v>956</v>
      </c>
      <c r="T18" s="104">
        <f>E18+P18</f>
        <v>399</v>
      </c>
      <c r="U18" s="104">
        <f>Sek_1!AC18+Sek_2!Q18</f>
        <v>25</v>
      </c>
      <c r="V18" s="104">
        <f>Sek_1!AD18+Sek_2!R18</f>
        <v>11</v>
      </c>
    </row>
    <row r="19" spans="1:22" s="133" customFormat="1" ht="31.2" x14ac:dyDescent="0.3">
      <c r="A19" s="120"/>
      <c r="B19" s="120" t="s">
        <v>66</v>
      </c>
      <c r="C19" s="331" t="s">
        <v>53</v>
      </c>
      <c r="D19" s="330">
        <f>Sek_1!AA19</f>
        <v>6075</v>
      </c>
      <c r="E19" s="330">
        <f>Sek_1!AB19</f>
        <v>2924</v>
      </c>
      <c r="F19" s="330">
        <f>Sek_1!AE19</f>
        <v>207</v>
      </c>
      <c r="G19" s="330">
        <f>SUM(G8:G18)</f>
        <v>985</v>
      </c>
      <c r="H19" s="330">
        <f>SUM(H8:H18)</f>
        <v>537</v>
      </c>
      <c r="I19" s="330">
        <f t="shared" ref="I19:T19" si="3">SUBTOTAL(9,I8:I18)</f>
        <v>1076</v>
      </c>
      <c r="J19" s="330">
        <f t="shared" si="3"/>
        <v>569</v>
      </c>
      <c r="K19" s="330">
        <f t="shared" si="3"/>
        <v>1144</v>
      </c>
      <c r="L19" s="330">
        <f t="shared" si="3"/>
        <v>604</v>
      </c>
      <c r="M19" s="330">
        <f t="shared" si="3"/>
        <v>1019</v>
      </c>
      <c r="N19" s="330">
        <f t="shared" si="3"/>
        <v>503</v>
      </c>
      <c r="O19" s="330">
        <f>G19+I19+K19+M19</f>
        <v>4224</v>
      </c>
      <c r="P19" s="330">
        <f>H19+J19+L19+N19</f>
        <v>2213</v>
      </c>
      <c r="Q19" s="330">
        <f t="shared" si="3"/>
        <v>153</v>
      </c>
      <c r="R19" s="330">
        <f t="shared" si="3"/>
        <v>82</v>
      </c>
      <c r="S19" s="330">
        <f t="shared" si="3"/>
        <v>10299</v>
      </c>
      <c r="T19" s="330">
        <f t="shared" si="3"/>
        <v>5137</v>
      </c>
      <c r="U19" s="120">
        <f>Sek_1!AC19+Sek_2!Q19</f>
        <v>302</v>
      </c>
      <c r="V19" s="120">
        <f>Sek_1!AD19+Sek_2!R19</f>
        <v>154</v>
      </c>
    </row>
    <row r="20" spans="1:22" ht="17.399999999999999" x14ac:dyDescent="0.25">
      <c r="A20" s="332" t="s">
        <v>70</v>
      </c>
      <c r="B20" s="143"/>
      <c r="C20" s="33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</row>
    <row r="21" spans="1:22" ht="15" x14ac:dyDescent="0.25">
      <c r="A21" s="370" t="s">
        <v>28</v>
      </c>
      <c r="B21" s="392" t="s">
        <v>0</v>
      </c>
      <c r="C21" s="393" t="s">
        <v>95</v>
      </c>
      <c r="D21" s="392" t="s">
        <v>67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</row>
    <row r="22" spans="1:22" ht="17.399999999999999" x14ac:dyDescent="0.25">
      <c r="A22" s="370"/>
      <c r="B22" s="392"/>
      <c r="C22" s="393"/>
      <c r="D22" s="392" t="s">
        <v>68</v>
      </c>
      <c r="E22" s="392"/>
      <c r="F22" s="392"/>
      <c r="G22" s="392" t="s">
        <v>90</v>
      </c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70" t="s">
        <v>69</v>
      </c>
      <c r="T22" s="370"/>
      <c r="U22" s="370"/>
      <c r="V22" s="370"/>
    </row>
    <row r="23" spans="1:22" ht="17.399999999999999" customHeight="1" x14ac:dyDescent="0.25">
      <c r="A23" s="370"/>
      <c r="B23" s="392"/>
      <c r="C23" s="392"/>
      <c r="D23" s="393" t="s">
        <v>30</v>
      </c>
      <c r="E23" s="393"/>
      <c r="F23" s="393"/>
      <c r="G23" s="392" t="s">
        <v>98</v>
      </c>
      <c r="H23" s="392"/>
      <c r="I23" s="392" t="s">
        <v>72</v>
      </c>
      <c r="J23" s="392"/>
      <c r="K23" s="392" t="s">
        <v>55</v>
      </c>
      <c r="L23" s="392"/>
      <c r="M23" s="392" t="s">
        <v>56</v>
      </c>
      <c r="N23" s="392"/>
      <c r="O23" s="393" t="s">
        <v>30</v>
      </c>
      <c r="P23" s="393"/>
      <c r="Q23" s="370" t="s">
        <v>97</v>
      </c>
      <c r="R23" s="370"/>
      <c r="S23" s="393" t="s">
        <v>30</v>
      </c>
      <c r="T23" s="393"/>
      <c r="U23" s="370" t="s">
        <v>97</v>
      </c>
      <c r="V23" s="370"/>
    </row>
    <row r="24" spans="1:22" ht="31.2" x14ac:dyDescent="0.25">
      <c r="A24" s="370"/>
      <c r="B24" s="392"/>
      <c r="C24" s="392"/>
      <c r="D24" s="303" t="s">
        <v>8</v>
      </c>
      <c r="E24" s="357" t="s">
        <v>49</v>
      </c>
      <c r="F24" s="357" t="s">
        <v>10</v>
      </c>
      <c r="G24" s="303" t="s">
        <v>8</v>
      </c>
      <c r="H24" s="357" t="s">
        <v>49</v>
      </c>
      <c r="I24" s="303" t="s">
        <v>8</v>
      </c>
      <c r="J24" s="357" t="s">
        <v>49</v>
      </c>
      <c r="K24" s="303" t="s">
        <v>8</v>
      </c>
      <c r="L24" s="357" t="s">
        <v>49</v>
      </c>
      <c r="M24" s="303" t="s">
        <v>8</v>
      </c>
      <c r="N24" s="357" t="s">
        <v>49</v>
      </c>
      <c r="O24" s="303" t="s">
        <v>8</v>
      </c>
      <c r="P24" s="357" t="s">
        <v>49</v>
      </c>
      <c r="Q24" s="303" t="s">
        <v>8</v>
      </c>
      <c r="R24" s="357" t="s">
        <v>49</v>
      </c>
      <c r="S24" s="303" t="s">
        <v>8</v>
      </c>
      <c r="T24" s="357" t="s">
        <v>49</v>
      </c>
      <c r="U24" s="303" t="s">
        <v>8</v>
      </c>
      <c r="V24" s="357" t="s">
        <v>49</v>
      </c>
    </row>
    <row r="25" spans="1:22" ht="15.6" x14ac:dyDescent="0.25">
      <c r="A25" s="304">
        <v>1</v>
      </c>
      <c r="B25" s="304">
        <v>2</v>
      </c>
      <c r="C25" s="304">
        <v>2</v>
      </c>
      <c r="D25" s="298">
        <v>3</v>
      </c>
      <c r="E25" s="304">
        <v>4</v>
      </c>
      <c r="F25" s="304">
        <v>5</v>
      </c>
      <c r="G25" s="298">
        <v>6</v>
      </c>
      <c r="H25" s="304">
        <v>7</v>
      </c>
      <c r="I25" s="298">
        <v>8</v>
      </c>
      <c r="J25" s="304">
        <v>9</v>
      </c>
      <c r="K25" s="298">
        <v>10</v>
      </c>
      <c r="L25" s="304">
        <v>11</v>
      </c>
      <c r="M25" s="298">
        <v>11</v>
      </c>
      <c r="N25" s="304">
        <v>12</v>
      </c>
      <c r="O25" s="298">
        <v>12</v>
      </c>
      <c r="P25" s="304">
        <v>13</v>
      </c>
      <c r="Q25" s="298">
        <v>16</v>
      </c>
      <c r="R25" s="304">
        <v>17</v>
      </c>
      <c r="S25" s="298">
        <v>18</v>
      </c>
      <c r="T25" s="304">
        <v>19</v>
      </c>
      <c r="U25" s="298">
        <v>22</v>
      </c>
      <c r="V25" s="304">
        <v>23</v>
      </c>
    </row>
    <row r="26" spans="1:22" ht="30.6" x14ac:dyDescent="0.3">
      <c r="A26" s="104">
        <v>1</v>
      </c>
      <c r="B26" s="104" t="s">
        <v>71</v>
      </c>
      <c r="C26" s="119" t="s">
        <v>11</v>
      </c>
      <c r="D26" s="120">
        <f>Sek_1!AA20</f>
        <v>750</v>
      </c>
      <c r="E26" s="104">
        <f>Sek_1!AB20</f>
        <v>388</v>
      </c>
      <c r="F26" s="104">
        <f>Sek_1!AE20</f>
        <v>25</v>
      </c>
      <c r="G26" s="120">
        <v>166</v>
      </c>
      <c r="H26" s="104">
        <v>105</v>
      </c>
      <c r="I26" s="120">
        <v>126</v>
      </c>
      <c r="J26" s="104">
        <v>83</v>
      </c>
      <c r="K26" s="120">
        <v>144</v>
      </c>
      <c r="L26" s="104">
        <v>87</v>
      </c>
      <c r="M26" s="120">
        <v>171</v>
      </c>
      <c r="N26" s="104">
        <v>120</v>
      </c>
      <c r="O26" s="104">
        <f>G26+I26+K26+M26</f>
        <v>607</v>
      </c>
      <c r="P26" s="104">
        <f>H26+J26+L26+N26</f>
        <v>395</v>
      </c>
      <c r="Q26" s="120">
        <v>10</v>
      </c>
      <c r="R26" s="104">
        <v>7</v>
      </c>
      <c r="S26" s="330">
        <f>D26+O26</f>
        <v>1357</v>
      </c>
      <c r="T26" s="104">
        <f>E26+P26</f>
        <v>783</v>
      </c>
      <c r="U26" s="104">
        <f>Sek_1!AC20+Sek_2!Q26</f>
        <v>25</v>
      </c>
      <c r="V26" s="104">
        <f>Sek_1!AD20+Sek_2!R26</f>
        <v>14</v>
      </c>
    </row>
    <row r="27" spans="1:22" ht="27.6" x14ac:dyDescent="0.3">
      <c r="A27" s="104">
        <v>2</v>
      </c>
      <c r="B27" s="104" t="s">
        <v>71</v>
      </c>
      <c r="C27" s="119" t="s">
        <v>75</v>
      </c>
      <c r="D27" s="120">
        <f>Sek_1!AA21</f>
        <v>717</v>
      </c>
      <c r="E27" s="104">
        <f>Sek_1!AB21</f>
        <v>324</v>
      </c>
      <c r="F27" s="104">
        <f>Sek_1!AE21</f>
        <v>25</v>
      </c>
      <c r="G27" s="120">
        <v>138</v>
      </c>
      <c r="H27" s="104">
        <v>69</v>
      </c>
      <c r="I27" s="120">
        <v>106</v>
      </c>
      <c r="J27" s="104">
        <v>53</v>
      </c>
      <c r="K27" s="120">
        <v>96</v>
      </c>
      <c r="L27" s="104">
        <v>49</v>
      </c>
      <c r="M27" s="120">
        <v>83</v>
      </c>
      <c r="N27" s="104">
        <v>42</v>
      </c>
      <c r="O27" s="104">
        <f>G27+I27+K27+M27</f>
        <v>423</v>
      </c>
      <c r="P27" s="104">
        <f>H27+J27+L27+N27</f>
        <v>213</v>
      </c>
      <c r="Q27" s="120">
        <v>15</v>
      </c>
      <c r="R27" s="104">
        <v>9</v>
      </c>
      <c r="S27" s="330">
        <f>D27+O27</f>
        <v>1140</v>
      </c>
      <c r="T27" s="104">
        <f>E27+P27</f>
        <v>537</v>
      </c>
      <c r="U27" s="104">
        <f>Sek_1!AC21+Sek_2!Q27</f>
        <v>28</v>
      </c>
      <c r="V27" s="104">
        <f>Sek_1!AD21+Sek_2!R27</f>
        <v>16</v>
      </c>
    </row>
    <row r="28" spans="1:22" ht="30.6" x14ac:dyDescent="0.3">
      <c r="A28" s="104">
        <v>3</v>
      </c>
      <c r="B28" s="104" t="s">
        <v>71</v>
      </c>
      <c r="C28" s="119" t="s">
        <v>13</v>
      </c>
      <c r="D28" s="120">
        <f>Sek_1!AA22</f>
        <v>350</v>
      </c>
      <c r="E28" s="104">
        <f>Sek_1!AB22</f>
        <v>182</v>
      </c>
      <c r="F28" s="104">
        <f>Sek_1!AE22</f>
        <v>13</v>
      </c>
      <c r="G28" s="120">
        <v>103</v>
      </c>
      <c r="H28" s="104">
        <v>46</v>
      </c>
      <c r="I28" s="120">
        <v>74</v>
      </c>
      <c r="J28" s="104">
        <v>45</v>
      </c>
      <c r="K28" s="120">
        <v>87</v>
      </c>
      <c r="L28" s="104">
        <v>49</v>
      </c>
      <c r="M28" s="120">
        <v>101</v>
      </c>
      <c r="N28" s="104">
        <v>65</v>
      </c>
      <c r="O28" s="104">
        <f t="shared" ref="O28:O36" si="4">G28+I28+K28+M28</f>
        <v>365</v>
      </c>
      <c r="P28" s="104">
        <f t="shared" ref="P28:P36" si="5">H28+J28+L28+N28</f>
        <v>205</v>
      </c>
      <c r="Q28" s="120">
        <v>26</v>
      </c>
      <c r="R28" s="104">
        <v>13</v>
      </c>
      <c r="S28" s="330">
        <f>D28+O28</f>
        <v>715</v>
      </c>
      <c r="T28" s="104">
        <f>E28+P28</f>
        <v>387</v>
      </c>
      <c r="U28" s="104">
        <f>Sek_1!AC22+Sek_2!Q28</f>
        <v>46</v>
      </c>
      <c r="V28" s="104">
        <f>Sek_1!AD22+Sek_2!R28</f>
        <v>23</v>
      </c>
    </row>
    <row r="29" spans="1:22" ht="15.6" x14ac:dyDescent="0.3">
      <c r="A29" s="104">
        <v>4</v>
      </c>
      <c r="B29" s="104" t="s">
        <v>71</v>
      </c>
      <c r="C29" s="124" t="s">
        <v>14</v>
      </c>
      <c r="D29" s="120">
        <f>Sek_1!AA23</f>
        <v>621</v>
      </c>
      <c r="E29" s="104">
        <f>Sek_1!AB23</f>
        <v>259</v>
      </c>
      <c r="F29" s="104">
        <f>Sek_1!AE23</f>
        <v>20</v>
      </c>
      <c r="G29" s="120">
        <v>133</v>
      </c>
      <c r="H29" s="104">
        <v>43</v>
      </c>
      <c r="I29" s="120">
        <v>116</v>
      </c>
      <c r="J29" s="104">
        <v>62</v>
      </c>
      <c r="K29" s="120">
        <v>83</v>
      </c>
      <c r="L29" s="104">
        <v>37</v>
      </c>
      <c r="M29" s="120">
        <v>100</v>
      </c>
      <c r="N29" s="104">
        <v>35</v>
      </c>
      <c r="O29" s="104">
        <f t="shared" si="4"/>
        <v>432</v>
      </c>
      <c r="P29" s="104">
        <f t="shared" si="5"/>
        <v>177</v>
      </c>
      <c r="Q29" s="120">
        <v>30</v>
      </c>
      <c r="R29" s="104">
        <v>14</v>
      </c>
      <c r="S29" s="330">
        <f>D29+O29</f>
        <v>1053</v>
      </c>
      <c r="T29" s="104">
        <f>E29+P29</f>
        <v>436</v>
      </c>
      <c r="U29" s="104">
        <f>Sek_1!AC23+Sek_2!Q29</f>
        <v>69</v>
      </c>
      <c r="V29" s="104">
        <f>Sek_1!AD23+Sek_2!R29</f>
        <v>30</v>
      </c>
    </row>
    <row r="30" spans="1:22" ht="15.6" x14ac:dyDescent="0.3">
      <c r="A30" s="104">
        <v>5</v>
      </c>
      <c r="B30" s="104" t="s">
        <v>71</v>
      </c>
      <c r="C30" s="124" t="s">
        <v>15</v>
      </c>
      <c r="D30" s="120">
        <f>Sek_1!AA24</f>
        <v>692</v>
      </c>
      <c r="E30" s="104">
        <f>Sek_1!AB24</f>
        <v>386</v>
      </c>
      <c r="F30" s="104">
        <f>Sek_1!AE24</f>
        <v>25</v>
      </c>
      <c r="G30" s="120">
        <v>125</v>
      </c>
      <c r="H30" s="104">
        <v>70</v>
      </c>
      <c r="I30" s="120">
        <v>101</v>
      </c>
      <c r="J30" s="104">
        <v>48</v>
      </c>
      <c r="K30" s="120">
        <v>123</v>
      </c>
      <c r="L30" s="104">
        <v>64</v>
      </c>
      <c r="M30" s="120">
        <v>100</v>
      </c>
      <c r="N30" s="104">
        <v>54</v>
      </c>
      <c r="O30" s="104">
        <f t="shared" si="4"/>
        <v>449</v>
      </c>
      <c r="P30" s="104">
        <f t="shared" si="5"/>
        <v>236</v>
      </c>
      <c r="Q30" s="120">
        <v>10</v>
      </c>
      <c r="R30" s="104">
        <v>6</v>
      </c>
      <c r="S30" s="330">
        <f>D30+O30</f>
        <v>1141</v>
      </c>
      <c r="T30" s="104">
        <f>E30+P30</f>
        <v>622</v>
      </c>
      <c r="U30" s="104">
        <f>Sek_1!AC24+Sek_2!Q30</f>
        <v>15</v>
      </c>
      <c r="V30" s="104">
        <f>Sek_1!AD24+Sek_2!R30</f>
        <v>8</v>
      </c>
    </row>
    <row r="31" spans="1:22" ht="15.6" x14ac:dyDescent="0.3">
      <c r="A31" s="104">
        <v>6</v>
      </c>
      <c r="B31" s="104" t="s">
        <v>71</v>
      </c>
      <c r="C31" s="119" t="s">
        <v>16</v>
      </c>
      <c r="D31" s="120">
        <f>Sek_1!AA25</f>
        <v>545</v>
      </c>
      <c r="E31" s="104">
        <f>Sek_1!AB25</f>
        <v>277</v>
      </c>
      <c r="F31" s="104">
        <f>Sek_1!AE25</f>
        <v>19</v>
      </c>
      <c r="G31" s="120">
        <v>130</v>
      </c>
      <c r="H31" s="104">
        <v>65</v>
      </c>
      <c r="I31" s="120">
        <v>74</v>
      </c>
      <c r="J31" s="104">
        <v>45</v>
      </c>
      <c r="K31" s="120">
        <v>113</v>
      </c>
      <c r="L31" s="104">
        <v>68</v>
      </c>
      <c r="M31" s="120">
        <v>93</v>
      </c>
      <c r="N31" s="104">
        <v>49</v>
      </c>
      <c r="O31" s="104">
        <f t="shared" si="4"/>
        <v>410</v>
      </c>
      <c r="P31" s="104">
        <f t="shared" si="5"/>
        <v>227</v>
      </c>
      <c r="Q31" s="120">
        <v>15</v>
      </c>
      <c r="R31" s="104">
        <v>8</v>
      </c>
      <c r="S31" s="330">
        <f>D31+O31</f>
        <v>955</v>
      </c>
      <c r="T31" s="104">
        <f>E31+P31</f>
        <v>504</v>
      </c>
      <c r="U31" s="104">
        <f>Sek_1!AC25+Sek_2!Q31</f>
        <v>28</v>
      </c>
      <c r="V31" s="104">
        <f>Sek_1!AD25+Sek_2!R31</f>
        <v>14</v>
      </c>
    </row>
    <row r="32" spans="1:22" ht="30.6" x14ac:dyDescent="0.3">
      <c r="A32" s="104">
        <v>7</v>
      </c>
      <c r="B32" s="104" t="s">
        <v>71</v>
      </c>
      <c r="C32" s="119" t="s">
        <v>17</v>
      </c>
      <c r="D32" s="120">
        <f>Sek_1!AA26</f>
        <v>329</v>
      </c>
      <c r="E32" s="104">
        <f>Sek_1!AB26</f>
        <v>140</v>
      </c>
      <c r="F32" s="104">
        <f>Sek_1!AE26</f>
        <v>11</v>
      </c>
      <c r="G32" s="120">
        <v>123</v>
      </c>
      <c r="H32" s="104">
        <v>72</v>
      </c>
      <c r="I32" s="120">
        <v>53</v>
      </c>
      <c r="J32" s="104">
        <v>27</v>
      </c>
      <c r="K32" s="120">
        <v>55</v>
      </c>
      <c r="L32" s="104">
        <v>28</v>
      </c>
      <c r="M32" s="120">
        <v>47</v>
      </c>
      <c r="N32" s="104">
        <v>28</v>
      </c>
      <c r="O32" s="104">
        <f t="shared" si="4"/>
        <v>278</v>
      </c>
      <c r="P32" s="104">
        <f t="shared" si="5"/>
        <v>155</v>
      </c>
      <c r="Q32" s="120">
        <v>7</v>
      </c>
      <c r="R32" s="104">
        <v>3</v>
      </c>
      <c r="S32" s="330">
        <f>D32+O32</f>
        <v>607</v>
      </c>
      <c r="T32" s="104">
        <f>E32+P32</f>
        <v>295</v>
      </c>
      <c r="U32" s="104">
        <f>Sek_1!AC26+Sek_2!Q32</f>
        <v>9</v>
      </c>
      <c r="V32" s="104">
        <f>Sek_1!AD26+Sek_2!R32</f>
        <v>5</v>
      </c>
    </row>
    <row r="33" spans="1:22" ht="15.6" x14ac:dyDescent="0.3">
      <c r="A33" s="104">
        <v>8</v>
      </c>
      <c r="B33" s="104" t="s">
        <v>71</v>
      </c>
      <c r="C33" s="124" t="s">
        <v>18</v>
      </c>
      <c r="D33" s="120">
        <f>Sek_1!AA27</f>
        <v>610</v>
      </c>
      <c r="E33" s="104">
        <f>Sek_1!AB27</f>
        <v>333</v>
      </c>
      <c r="F33" s="104">
        <f>Sek_1!AE27</f>
        <v>22</v>
      </c>
      <c r="G33" s="120">
        <v>139</v>
      </c>
      <c r="H33" s="104">
        <v>77</v>
      </c>
      <c r="I33" s="120">
        <v>82</v>
      </c>
      <c r="J33" s="104">
        <v>53</v>
      </c>
      <c r="K33" s="120">
        <v>141</v>
      </c>
      <c r="L33" s="104">
        <v>72</v>
      </c>
      <c r="M33" s="120">
        <v>106</v>
      </c>
      <c r="N33" s="104">
        <v>55</v>
      </c>
      <c r="O33" s="104">
        <f t="shared" si="4"/>
        <v>468</v>
      </c>
      <c r="P33" s="104">
        <f t="shared" si="5"/>
        <v>257</v>
      </c>
      <c r="Q33" s="120">
        <v>10</v>
      </c>
      <c r="R33" s="104">
        <v>6</v>
      </c>
      <c r="S33" s="330">
        <f>D33+O33</f>
        <v>1078</v>
      </c>
      <c r="T33" s="104">
        <f>E33+P33</f>
        <v>590</v>
      </c>
      <c r="U33" s="104">
        <f>Sek_1!AC27+Sek_2!Q33</f>
        <v>27</v>
      </c>
      <c r="V33" s="104">
        <f>Sek_1!AD27+Sek_2!R33</f>
        <v>15</v>
      </c>
    </row>
    <row r="34" spans="1:22" ht="15.6" x14ac:dyDescent="0.3">
      <c r="A34" s="104">
        <v>9</v>
      </c>
      <c r="B34" s="104" t="s">
        <v>71</v>
      </c>
      <c r="C34" s="124" t="s">
        <v>19</v>
      </c>
      <c r="D34" s="120">
        <f>Sek_1!AA28</f>
        <v>470</v>
      </c>
      <c r="E34" s="104">
        <f>Sek_1!AB28</f>
        <v>203</v>
      </c>
      <c r="F34" s="104">
        <f>Sek_1!AE28</f>
        <v>16</v>
      </c>
      <c r="G34" s="120">
        <v>65</v>
      </c>
      <c r="H34" s="104">
        <v>28</v>
      </c>
      <c r="I34" s="120">
        <v>47</v>
      </c>
      <c r="J34" s="104">
        <v>21</v>
      </c>
      <c r="K34" s="120">
        <v>65</v>
      </c>
      <c r="L34" s="104">
        <v>29</v>
      </c>
      <c r="M34" s="120">
        <v>81</v>
      </c>
      <c r="N34" s="104">
        <v>31</v>
      </c>
      <c r="O34" s="104">
        <f t="shared" si="4"/>
        <v>258</v>
      </c>
      <c r="P34" s="104">
        <f t="shared" si="5"/>
        <v>109</v>
      </c>
      <c r="Q34" s="120">
        <v>11</v>
      </c>
      <c r="R34" s="104">
        <v>8</v>
      </c>
      <c r="S34" s="330">
        <f>D34+O34</f>
        <v>728</v>
      </c>
      <c r="T34" s="104">
        <f>E34+P34</f>
        <v>312</v>
      </c>
      <c r="U34" s="104">
        <f>Sek_1!AC28+Sek_2!Q34</f>
        <v>22</v>
      </c>
      <c r="V34" s="104">
        <f>Sek_1!AD28+Sek_2!R34</f>
        <v>11</v>
      </c>
    </row>
    <row r="35" spans="1:22" ht="15.6" x14ac:dyDescent="0.3">
      <c r="A35" s="104">
        <v>10</v>
      </c>
      <c r="B35" s="104" t="s">
        <v>71</v>
      </c>
      <c r="C35" s="124" t="s">
        <v>20</v>
      </c>
      <c r="D35" s="120">
        <f>Sek_1!AA29</f>
        <v>466</v>
      </c>
      <c r="E35" s="104">
        <f>Sek_1!AB29</f>
        <v>193</v>
      </c>
      <c r="F35" s="104">
        <f>Sek_1!AE29</f>
        <v>16</v>
      </c>
      <c r="G35" s="120">
        <v>137</v>
      </c>
      <c r="H35" s="104">
        <v>64</v>
      </c>
      <c r="I35" s="120">
        <v>55</v>
      </c>
      <c r="J35" s="104">
        <v>26</v>
      </c>
      <c r="K35" s="120">
        <v>73</v>
      </c>
      <c r="L35" s="104">
        <v>32</v>
      </c>
      <c r="M35" s="120">
        <v>69</v>
      </c>
      <c r="N35" s="104">
        <v>33</v>
      </c>
      <c r="O35" s="104">
        <f t="shared" si="4"/>
        <v>334</v>
      </c>
      <c r="P35" s="104">
        <f t="shared" si="5"/>
        <v>155</v>
      </c>
      <c r="Q35" s="120">
        <v>7</v>
      </c>
      <c r="R35" s="104">
        <v>2</v>
      </c>
      <c r="S35" s="330">
        <f>D35+O35</f>
        <v>800</v>
      </c>
      <c r="T35" s="104">
        <f>E35+P35</f>
        <v>348</v>
      </c>
      <c r="U35" s="104">
        <f>Sek_1!AC29+Sek_2!Q35</f>
        <v>14</v>
      </c>
      <c r="V35" s="104">
        <f>Sek_1!AD29+Sek_2!R35</f>
        <v>4</v>
      </c>
    </row>
    <row r="36" spans="1:22" ht="15.6" x14ac:dyDescent="0.3">
      <c r="A36" s="104">
        <v>11</v>
      </c>
      <c r="B36" s="104" t="s">
        <v>71</v>
      </c>
      <c r="C36" s="119" t="s">
        <v>21</v>
      </c>
      <c r="D36" s="120">
        <f>Sek_1!AA30</f>
        <v>585</v>
      </c>
      <c r="E36" s="104">
        <f>Sek_1!AB30</f>
        <v>228</v>
      </c>
      <c r="F36" s="104">
        <f>Sek_1!AE30</f>
        <v>20</v>
      </c>
      <c r="G36" s="120">
        <v>139</v>
      </c>
      <c r="H36" s="104">
        <v>61</v>
      </c>
      <c r="I36" s="120">
        <v>71</v>
      </c>
      <c r="J36" s="104">
        <v>29</v>
      </c>
      <c r="K36" s="120">
        <v>79</v>
      </c>
      <c r="L36" s="104">
        <v>36</v>
      </c>
      <c r="M36" s="120">
        <v>96</v>
      </c>
      <c r="N36" s="104">
        <v>40</v>
      </c>
      <c r="O36" s="104">
        <f t="shared" si="4"/>
        <v>385</v>
      </c>
      <c r="P36" s="104">
        <f t="shared" si="5"/>
        <v>166</v>
      </c>
      <c r="Q36" s="120">
        <v>10</v>
      </c>
      <c r="R36" s="104">
        <v>5</v>
      </c>
      <c r="S36" s="330">
        <f>D36+O36</f>
        <v>970</v>
      </c>
      <c r="T36" s="104">
        <f>E36+P36</f>
        <v>394</v>
      </c>
      <c r="U36" s="104">
        <f>Sek_1!AC30+Sek_2!Q36</f>
        <v>24</v>
      </c>
      <c r="V36" s="104">
        <f>Sek_1!AD30+Sek_2!R36</f>
        <v>12</v>
      </c>
    </row>
    <row r="37" spans="1:22" ht="31.2" x14ac:dyDescent="0.3">
      <c r="A37" s="104"/>
      <c r="B37" s="104" t="s">
        <v>71</v>
      </c>
      <c r="C37" s="331" t="s">
        <v>53</v>
      </c>
      <c r="D37" s="330">
        <f>Sek_1!AA31</f>
        <v>6135</v>
      </c>
      <c r="E37" s="330">
        <f>Sek_1!AB31</f>
        <v>2913</v>
      </c>
      <c r="F37" s="330">
        <f>Sek_1!AE31</f>
        <v>212</v>
      </c>
      <c r="G37" s="330">
        <f>G26+G27+G28+G29+G30+G31+G32+G33+G34+G35+G36</f>
        <v>1398</v>
      </c>
      <c r="H37" s="330">
        <f t="shared" ref="H37:M37" si="6">H26+H27+H28+H29+H30+H31+H32+H33+H34+H35+H36</f>
        <v>700</v>
      </c>
      <c r="I37" s="330">
        <f t="shared" si="6"/>
        <v>905</v>
      </c>
      <c r="J37" s="330">
        <f t="shared" si="6"/>
        <v>492</v>
      </c>
      <c r="K37" s="330">
        <f t="shared" si="6"/>
        <v>1059</v>
      </c>
      <c r="L37" s="330">
        <f t="shared" si="6"/>
        <v>551</v>
      </c>
      <c r="M37" s="330">
        <f t="shared" si="6"/>
        <v>1047</v>
      </c>
      <c r="N37" s="330">
        <f t="shared" ref="N37:V37" si="7">N26+N27+N28+N29+N30+N31+N32+N33+N34+N35+N36</f>
        <v>552</v>
      </c>
      <c r="O37" s="330">
        <f t="shared" si="7"/>
        <v>4409</v>
      </c>
      <c r="P37" s="330">
        <f t="shared" si="7"/>
        <v>2295</v>
      </c>
      <c r="Q37" s="330">
        <f t="shared" si="7"/>
        <v>151</v>
      </c>
      <c r="R37" s="330">
        <f t="shared" si="7"/>
        <v>81</v>
      </c>
      <c r="S37" s="330">
        <f t="shared" si="7"/>
        <v>10544</v>
      </c>
      <c r="T37" s="330">
        <f t="shared" si="7"/>
        <v>5208</v>
      </c>
      <c r="U37" s="330">
        <f t="shared" si="7"/>
        <v>307</v>
      </c>
      <c r="V37" s="330">
        <f t="shared" si="7"/>
        <v>152</v>
      </c>
    </row>
    <row r="38" spans="1:22" ht="18" x14ac:dyDescent="0.3">
      <c r="A38" s="332" t="s">
        <v>73</v>
      </c>
      <c r="B38" s="104"/>
      <c r="C38" s="331"/>
      <c r="D38" s="330"/>
      <c r="E38" s="334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</row>
    <row r="39" spans="1:22" ht="30.6" x14ac:dyDescent="0.3">
      <c r="A39" s="104">
        <v>1</v>
      </c>
      <c r="B39" s="104" t="s">
        <v>79</v>
      </c>
      <c r="C39" s="119" t="s">
        <v>11</v>
      </c>
      <c r="D39" s="120">
        <f>Sek_1!AA34</f>
        <v>754</v>
      </c>
      <c r="E39" s="104">
        <f>Sek_1!AB34</f>
        <v>402</v>
      </c>
      <c r="F39" s="120">
        <f>Sek_1!AE34</f>
        <v>25</v>
      </c>
      <c r="G39" s="120">
        <v>182</v>
      </c>
      <c r="H39" s="104">
        <v>101</v>
      </c>
      <c r="I39" s="120">
        <v>171</v>
      </c>
      <c r="J39" s="104">
        <v>112</v>
      </c>
      <c r="K39" s="120">
        <v>118</v>
      </c>
      <c r="L39" s="104">
        <v>77</v>
      </c>
      <c r="M39" s="120">
        <v>143</v>
      </c>
      <c r="N39" s="104">
        <v>85</v>
      </c>
      <c r="O39" s="104">
        <f>G39+I39+K39+M39</f>
        <v>614</v>
      </c>
      <c r="P39" s="104">
        <f>H39+J39+L39+N39</f>
        <v>375</v>
      </c>
      <c r="Q39" s="120">
        <v>10</v>
      </c>
      <c r="R39" s="104">
        <v>8</v>
      </c>
      <c r="S39" s="330">
        <f>D39+O39</f>
        <v>1368</v>
      </c>
      <c r="T39" s="104">
        <f>E39+P39</f>
        <v>777</v>
      </c>
      <c r="U39" s="104">
        <f>Sek_1!AC34+Sek_2!Q39</f>
        <v>27</v>
      </c>
      <c r="V39" s="104">
        <f>Sek_1!AD34+Sek_2!R39</f>
        <v>16</v>
      </c>
    </row>
    <row r="40" spans="1:22" ht="27.6" x14ac:dyDescent="0.3">
      <c r="A40" s="104">
        <v>2</v>
      </c>
      <c r="B40" s="104" t="s">
        <v>79</v>
      </c>
      <c r="C40" s="119" t="s">
        <v>75</v>
      </c>
      <c r="D40" s="120">
        <f>Sek_1!AA35</f>
        <v>695</v>
      </c>
      <c r="E40" s="104">
        <f>Sek_1!AB35</f>
        <v>312</v>
      </c>
      <c r="F40" s="120">
        <f>Sek_1!AE35</f>
        <v>24</v>
      </c>
      <c r="G40" s="120">
        <v>147</v>
      </c>
      <c r="H40" s="104">
        <v>61</v>
      </c>
      <c r="I40" s="120">
        <v>136</v>
      </c>
      <c r="J40" s="104">
        <v>71</v>
      </c>
      <c r="K40" s="120">
        <v>99</v>
      </c>
      <c r="L40" s="104">
        <v>49</v>
      </c>
      <c r="M40" s="120">
        <v>90</v>
      </c>
      <c r="N40" s="104">
        <v>44</v>
      </c>
      <c r="O40" s="104">
        <f t="shared" ref="O40:P49" si="8">G40+I40+K40+M40</f>
        <v>472</v>
      </c>
      <c r="P40" s="104">
        <f t="shared" si="8"/>
        <v>225</v>
      </c>
      <c r="Q40" s="120">
        <v>17</v>
      </c>
      <c r="R40" s="104">
        <v>10</v>
      </c>
      <c r="S40" s="330">
        <f>D40+O40</f>
        <v>1167</v>
      </c>
      <c r="T40" s="104">
        <f>E40+P40</f>
        <v>537</v>
      </c>
      <c r="U40" s="104">
        <f>Sek_1!AC35+Sek_2!Q40</f>
        <v>30</v>
      </c>
      <c r="V40" s="104">
        <f>Sek_1!AD35+Sek_2!R40</f>
        <v>16</v>
      </c>
    </row>
    <row r="41" spans="1:22" ht="30.6" x14ac:dyDescent="0.3">
      <c r="A41" s="104">
        <v>3</v>
      </c>
      <c r="B41" s="104" t="s">
        <v>79</v>
      </c>
      <c r="C41" s="119" t="s">
        <v>13</v>
      </c>
      <c r="D41" s="120">
        <f>Sek_1!AA36</f>
        <v>381</v>
      </c>
      <c r="E41" s="104">
        <f>Sek_1!AB36</f>
        <v>202</v>
      </c>
      <c r="F41" s="120">
        <f>Sek_1!AE36</f>
        <v>14</v>
      </c>
      <c r="G41" s="120">
        <v>71</v>
      </c>
      <c r="H41" s="104">
        <v>33</v>
      </c>
      <c r="I41" s="120">
        <v>104</v>
      </c>
      <c r="J41" s="104">
        <v>47</v>
      </c>
      <c r="K41" s="120">
        <f>65+1</f>
        <v>66</v>
      </c>
      <c r="L41" s="104">
        <f>41+0</f>
        <v>41</v>
      </c>
      <c r="M41" s="120">
        <v>79</v>
      </c>
      <c r="N41" s="104">
        <v>45</v>
      </c>
      <c r="O41" s="104">
        <f t="shared" si="8"/>
        <v>320</v>
      </c>
      <c r="P41" s="104">
        <f t="shared" si="8"/>
        <v>166</v>
      </c>
      <c r="Q41" s="120">
        <v>24</v>
      </c>
      <c r="R41" s="104">
        <v>15</v>
      </c>
      <c r="S41" s="330">
        <f>D41+O41</f>
        <v>701</v>
      </c>
      <c r="T41" s="104">
        <f>E41+P41</f>
        <v>368</v>
      </c>
      <c r="U41" s="104">
        <f>Sek_1!AC36+Sek_2!Q41</f>
        <v>47</v>
      </c>
      <c r="V41" s="104">
        <f>Sek_1!AD36+Sek_2!R41</f>
        <v>29</v>
      </c>
    </row>
    <row r="42" spans="1:22" ht="15.6" x14ac:dyDescent="0.3">
      <c r="A42" s="104">
        <v>4</v>
      </c>
      <c r="B42" s="104" t="s">
        <v>79</v>
      </c>
      <c r="C42" s="124" t="s">
        <v>14</v>
      </c>
      <c r="D42" s="120">
        <f>Sek_1!AA37</f>
        <v>621</v>
      </c>
      <c r="E42" s="104">
        <f>Sek_1!AB37</f>
        <v>263</v>
      </c>
      <c r="F42" s="120">
        <f>Sek_1!AE37</f>
        <v>20</v>
      </c>
      <c r="G42" s="120">
        <v>120</v>
      </c>
      <c r="H42" s="104">
        <v>48</v>
      </c>
      <c r="I42" s="120">
        <v>131</v>
      </c>
      <c r="J42" s="104">
        <v>42</v>
      </c>
      <c r="K42" s="120">
        <v>112</v>
      </c>
      <c r="L42" s="104">
        <v>59</v>
      </c>
      <c r="M42" s="120">
        <v>74</v>
      </c>
      <c r="N42" s="104">
        <v>34</v>
      </c>
      <c r="O42" s="104">
        <f t="shared" si="8"/>
        <v>437</v>
      </c>
      <c r="P42" s="104">
        <f t="shared" si="8"/>
        <v>183</v>
      </c>
      <c r="Q42" s="120">
        <v>26</v>
      </c>
      <c r="R42" s="104">
        <v>9</v>
      </c>
      <c r="S42" s="330">
        <f>D42+O42</f>
        <v>1058</v>
      </c>
      <c r="T42" s="104">
        <f>E42+P42</f>
        <v>446</v>
      </c>
      <c r="U42" s="104">
        <f>Sek_1!AC37+Sek_2!Q42</f>
        <v>64</v>
      </c>
      <c r="V42" s="104">
        <f>Sek_1!AD37+Sek_2!R42</f>
        <v>25</v>
      </c>
    </row>
    <row r="43" spans="1:22" ht="15.6" x14ac:dyDescent="0.3">
      <c r="A43" s="104">
        <v>5</v>
      </c>
      <c r="B43" s="104" t="s">
        <v>79</v>
      </c>
      <c r="C43" s="124" t="s">
        <v>15</v>
      </c>
      <c r="D43" s="120">
        <f>Sek_1!AA38</f>
        <v>662</v>
      </c>
      <c r="E43" s="104">
        <f>Sek_1!AB38</f>
        <v>372</v>
      </c>
      <c r="F43" s="120">
        <f>Sek_1!AE38</f>
        <v>24</v>
      </c>
      <c r="G43" s="120">
        <v>137</v>
      </c>
      <c r="H43" s="104">
        <v>67</v>
      </c>
      <c r="I43" s="120">
        <v>120</v>
      </c>
      <c r="J43" s="104">
        <v>72</v>
      </c>
      <c r="K43" s="120">
        <v>97</v>
      </c>
      <c r="L43" s="104">
        <v>45</v>
      </c>
      <c r="M43" s="120">
        <v>116</v>
      </c>
      <c r="N43" s="104">
        <v>61</v>
      </c>
      <c r="O43" s="104">
        <f t="shared" si="8"/>
        <v>470</v>
      </c>
      <c r="P43" s="104">
        <f t="shared" si="8"/>
        <v>245</v>
      </c>
      <c r="Q43" s="120">
        <v>6</v>
      </c>
      <c r="R43" s="104">
        <v>3</v>
      </c>
      <c r="S43" s="330">
        <f>D43+O43</f>
        <v>1132</v>
      </c>
      <c r="T43" s="104">
        <f>E43+P43</f>
        <v>617</v>
      </c>
      <c r="U43" s="104">
        <f>Sek_1!AC38+Sek_2!Q43</f>
        <v>13</v>
      </c>
      <c r="V43" s="104">
        <f>Sek_1!AD38+Sek_2!R43</f>
        <v>7</v>
      </c>
    </row>
    <row r="44" spans="1:22" ht="15.6" x14ac:dyDescent="0.3">
      <c r="A44" s="104">
        <v>6</v>
      </c>
      <c r="B44" s="104" t="s">
        <v>79</v>
      </c>
      <c r="C44" s="119" t="s">
        <v>16</v>
      </c>
      <c r="D44" s="120">
        <f>Sek_1!AA39</f>
        <v>519</v>
      </c>
      <c r="E44" s="104">
        <f>Sek_1!AB39</f>
        <v>256</v>
      </c>
      <c r="F44" s="120">
        <f>Sek_1!AE39</f>
        <v>19</v>
      </c>
      <c r="G44" s="120">
        <v>133</v>
      </c>
      <c r="H44" s="104">
        <v>68</v>
      </c>
      <c r="I44" s="120">
        <v>127</v>
      </c>
      <c r="J44" s="104">
        <v>62</v>
      </c>
      <c r="K44" s="120">
        <v>64</v>
      </c>
      <c r="L44" s="104">
        <v>42</v>
      </c>
      <c r="M44" s="120">
        <v>106</v>
      </c>
      <c r="N44" s="104">
        <v>63</v>
      </c>
      <c r="O44" s="104">
        <f t="shared" si="8"/>
        <v>430</v>
      </c>
      <c r="P44" s="104">
        <f t="shared" si="8"/>
        <v>235</v>
      </c>
      <c r="Q44" s="120">
        <v>10</v>
      </c>
      <c r="R44" s="104">
        <v>4</v>
      </c>
      <c r="S44" s="330">
        <f>D44+O44</f>
        <v>949</v>
      </c>
      <c r="T44" s="104">
        <f>E44+P44</f>
        <v>491</v>
      </c>
      <c r="U44" s="104">
        <f>Sek_1!AC39+Sek_2!Q44</f>
        <v>21</v>
      </c>
      <c r="V44" s="104">
        <f>Sek_1!AD39+Sek_2!R44</f>
        <v>8</v>
      </c>
    </row>
    <row r="45" spans="1:22" ht="30.6" x14ac:dyDescent="0.3">
      <c r="A45" s="104">
        <v>7</v>
      </c>
      <c r="B45" s="104" t="s">
        <v>79</v>
      </c>
      <c r="C45" s="119" t="s">
        <v>17</v>
      </c>
      <c r="D45" s="120">
        <f>Sek_1!AA40</f>
        <v>331</v>
      </c>
      <c r="E45" s="104">
        <f>Sek_1!AB40</f>
        <v>150</v>
      </c>
      <c r="F45" s="120">
        <f>Sek_1!AE40</f>
        <v>11</v>
      </c>
      <c r="G45" s="120">
        <v>69</v>
      </c>
      <c r="H45" s="104">
        <v>34</v>
      </c>
      <c r="I45" s="120">
        <v>128</v>
      </c>
      <c r="J45" s="104">
        <v>75</v>
      </c>
      <c r="K45" s="120">
        <v>39</v>
      </c>
      <c r="L45" s="104">
        <v>20</v>
      </c>
      <c r="M45" s="120">
        <v>48</v>
      </c>
      <c r="N45" s="104">
        <v>26</v>
      </c>
      <c r="O45" s="104">
        <f t="shared" si="8"/>
        <v>284</v>
      </c>
      <c r="P45" s="104">
        <f t="shared" si="8"/>
        <v>155</v>
      </c>
      <c r="Q45" s="120">
        <v>4</v>
      </c>
      <c r="R45" s="104">
        <v>2</v>
      </c>
      <c r="S45" s="330">
        <f>D45+O45</f>
        <v>615</v>
      </c>
      <c r="T45" s="104">
        <f>E45+P45</f>
        <v>305</v>
      </c>
      <c r="U45" s="104">
        <f>Sek_1!AC40+Sek_2!Q45</f>
        <v>9</v>
      </c>
      <c r="V45" s="104">
        <f>Sek_1!AD40+Sek_2!R45</f>
        <v>6</v>
      </c>
    </row>
    <row r="46" spans="1:22" ht="15.6" x14ac:dyDescent="0.3">
      <c r="A46" s="104">
        <v>8</v>
      </c>
      <c r="B46" s="104" t="s">
        <v>79</v>
      </c>
      <c r="C46" s="124" t="s">
        <v>18</v>
      </c>
      <c r="D46" s="120">
        <f>Sek_1!AA41</f>
        <v>576</v>
      </c>
      <c r="E46" s="104">
        <f>Sek_1!AB41</f>
        <v>290</v>
      </c>
      <c r="F46" s="120">
        <f>Sek_1!AE41</f>
        <v>21</v>
      </c>
      <c r="G46" s="120">
        <v>128</v>
      </c>
      <c r="H46" s="104">
        <v>77</v>
      </c>
      <c r="I46" s="120">
        <v>148</v>
      </c>
      <c r="J46" s="104">
        <v>83</v>
      </c>
      <c r="K46" s="120">
        <v>75</v>
      </c>
      <c r="L46" s="104">
        <v>47</v>
      </c>
      <c r="M46" s="120">
        <v>134</v>
      </c>
      <c r="N46" s="104">
        <v>65</v>
      </c>
      <c r="O46" s="104">
        <f t="shared" si="8"/>
        <v>485</v>
      </c>
      <c r="P46" s="104">
        <f t="shared" si="8"/>
        <v>272</v>
      </c>
      <c r="Q46" s="120">
        <v>12</v>
      </c>
      <c r="R46" s="104">
        <v>6</v>
      </c>
      <c r="S46" s="330">
        <f>D46+O46</f>
        <v>1061</v>
      </c>
      <c r="T46" s="104">
        <f>E46+P46</f>
        <v>562</v>
      </c>
      <c r="U46" s="104">
        <f>Sek_1!AC41+Sek_2!Q46</f>
        <v>29</v>
      </c>
      <c r="V46" s="104">
        <f>Sek_1!AD41+Sek_2!R46</f>
        <v>13</v>
      </c>
    </row>
    <row r="47" spans="1:22" ht="15.6" x14ac:dyDescent="0.3">
      <c r="A47" s="104">
        <v>9</v>
      </c>
      <c r="B47" s="104" t="s">
        <v>79</v>
      </c>
      <c r="C47" s="124" t="s">
        <v>19</v>
      </c>
      <c r="D47" s="120">
        <f>Sek_1!AA42</f>
        <v>480</v>
      </c>
      <c r="E47" s="104">
        <f>Sek_1!AB42</f>
        <v>202</v>
      </c>
      <c r="F47" s="120">
        <f>Sek_1!AE42</f>
        <v>17</v>
      </c>
      <c r="G47" s="120">
        <v>94</v>
      </c>
      <c r="H47" s="104">
        <v>50</v>
      </c>
      <c r="I47" s="120">
        <v>68</v>
      </c>
      <c r="J47" s="104">
        <v>28</v>
      </c>
      <c r="K47" s="120">
        <v>34</v>
      </c>
      <c r="L47" s="104">
        <v>14</v>
      </c>
      <c r="M47" s="120">
        <v>60</v>
      </c>
      <c r="N47" s="104">
        <v>27</v>
      </c>
      <c r="O47" s="104">
        <f t="shared" si="8"/>
        <v>256</v>
      </c>
      <c r="P47" s="104">
        <f t="shared" si="8"/>
        <v>119</v>
      </c>
      <c r="Q47" s="120">
        <v>9</v>
      </c>
      <c r="R47" s="104">
        <v>5</v>
      </c>
      <c r="S47" s="330">
        <f>D47+O47</f>
        <v>736</v>
      </c>
      <c r="T47" s="104">
        <f>E47+P47</f>
        <v>321</v>
      </c>
      <c r="U47" s="104">
        <f>Sek_1!AC42+Sek_2!Q47</f>
        <v>26</v>
      </c>
      <c r="V47" s="104">
        <f>Sek_1!AD42+Sek_2!R47</f>
        <v>14</v>
      </c>
    </row>
    <row r="48" spans="1:22" ht="15.6" x14ac:dyDescent="0.3">
      <c r="A48" s="104">
        <v>10</v>
      </c>
      <c r="B48" s="104" t="s">
        <v>79</v>
      </c>
      <c r="C48" s="124" t="s">
        <v>20</v>
      </c>
      <c r="D48" s="120">
        <f>Sek_1!AA43</f>
        <v>477</v>
      </c>
      <c r="E48" s="104">
        <f>Sek_1!AB43</f>
        <v>202</v>
      </c>
      <c r="F48" s="120">
        <f>Sek_1!AE43</f>
        <v>17</v>
      </c>
      <c r="G48" s="120">
        <v>87</v>
      </c>
      <c r="H48" s="104">
        <v>45</v>
      </c>
      <c r="I48" s="120">
        <v>132</v>
      </c>
      <c r="J48" s="104">
        <v>59</v>
      </c>
      <c r="K48" s="120">
        <v>53</v>
      </c>
      <c r="L48" s="104">
        <v>26</v>
      </c>
      <c r="M48" s="120">
        <v>64</v>
      </c>
      <c r="N48" s="104">
        <v>28</v>
      </c>
      <c r="O48" s="104">
        <f t="shared" si="8"/>
        <v>336</v>
      </c>
      <c r="P48" s="104">
        <f t="shared" si="8"/>
        <v>158</v>
      </c>
      <c r="Q48" s="120">
        <v>7</v>
      </c>
      <c r="R48" s="104">
        <v>2</v>
      </c>
      <c r="S48" s="330">
        <f>D48+O48</f>
        <v>813</v>
      </c>
      <c r="T48" s="104">
        <f>E48+P48</f>
        <v>360</v>
      </c>
      <c r="U48" s="104">
        <f>Sek_1!AC43+Sek_2!Q48</f>
        <v>16</v>
      </c>
      <c r="V48" s="104">
        <f>Sek_1!AD43+Sek_2!R48</f>
        <v>5</v>
      </c>
    </row>
    <row r="49" spans="1:22" ht="15.6" x14ac:dyDescent="0.3">
      <c r="A49" s="104">
        <v>11</v>
      </c>
      <c r="B49" s="104" t="s">
        <v>79</v>
      </c>
      <c r="C49" s="119" t="s">
        <v>21</v>
      </c>
      <c r="D49" s="120">
        <f>Sek_1!AA44</f>
        <v>586</v>
      </c>
      <c r="E49" s="104">
        <f>Sek_1!AB44</f>
        <v>225</v>
      </c>
      <c r="F49" s="120">
        <f>Sek_1!AE44</f>
        <v>20</v>
      </c>
      <c r="G49" s="120">
        <v>123</v>
      </c>
      <c r="H49" s="104">
        <v>48</v>
      </c>
      <c r="I49" s="120">
        <f>134+1</f>
        <v>135</v>
      </c>
      <c r="J49" s="104">
        <f>57+1</f>
        <v>58</v>
      </c>
      <c r="K49" s="120">
        <v>62</v>
      </c>
      <c r="L49" s="104">
        <v>27</v>
      </c>
      <c r="M49" s="120">
        <v>78</v>
      </c>
      <c r="N49" s="104">
        <v>35</v>
      </c>
      <c r="O49" s="104">
        <f t="shared" si="8"/>
        <v>398</v>
      </c>
      <c r="P49" s="104">
        <f t="shared" si="8"/>
        <v>168</v>
      </c>
      <c r="Q49" s="120">
        <v>10</v>
      </c>
      <c r="R49" s="104">
        <v>7</v>
      </c>
      <c r="S49" s="330">
        <f>D49+O49</f>
        <v>984</v>
      </c>
      <c r="T49" s="104">
        <f>E49+P49</f>
        <v>393</v>
      </c>
      <c r="U49" s="104">
        <f>Sek_1!AC44+Sek_2!Q49</f>
        <v>24</v>
      </c>
      <c r="V49" s="104">
        <f>Sek_1!AD44+Sek_2!R49</f>
        <v>13</v>
      </c>
    </row>
    <row r="50" spans="1:22" ht="31.2" x14ac:dyDescent="0.3">
      <c r="A50" s="104"/>
      <c r="B50" s="104" t="s">
        <v>79</v>
      </c>
      <c r="C50" s="331" t="s">
        <v>53</v>
      </c>
      <c r="D50" s="330">
        <f>Sek_1!AA45</f>
        <v>6082</v>
      </c>
      <c r="E50" s="330">
        <f>Sek_1!AB45</f>
        <v>2876</v>
      </c>
      <c r="F50" s="330">
        <f>Sek_1!AE45</f>
        <v>212</v>
      </c>
      <c r="G50" s="330">
        <f t="shared" ref="G50:V50" si="9">G39+G40+G41+G42+G43+G44+G45+G46+G47+G48+G49</f>
        <v>1291</v>
      </c>
      <c r="H50" s="330">
        <f t="shared" si="9"/>
        <v>632</v>
      </c>
      <c r="I50" s="330">
        <f t="shared" si="9"/>
        <v>1400</v>
      </c>
      <c r="J50" s="330">
        <f t="shared" si="9"/>
        <v>709</v>
      </c>
      <c r="K50" s="330">
        <f t="shared" si="9"/>
        <v>819</v>
      </c>
      <c r="L50" s="330">
        <f t="shared" si="9"/>
        <v>447</v>
      </c>
      <c r="M50" s="330">
        <f t="shared" si="9"/>
        <v>992</v>
      </c>
      <c r="N50" s="330">
        <f t="shared" si="9"/>
        <v>513</v>
      </c>
      <c r="O50" s="330">
        <f t="shared" si="9"/>
        <v>4502</v>
      </c>
      <c r="P50" s="330">
        <f t="shared" si="9"/>
        <v>2301</v>
      </c>
      <c r="Q50" s="330">
        <f t="shared" si="9"/>
        <v>135</v>
      </c>
      <c r="R50" s="330">
        <f t="shared" si="9"/>
        <v>71</v>
      </c>
      <c r="S50" s="330">
        <f t="shared" si="9"/>
        <v>10584</v>
      </c>
      <c r="T50" s="330">
        <f t="shared" si="9"/>
        <v>5177</v>
      </c>
      <c r="U50" s="330">
        <f t="shared" si="9"/>
        <v>306</v>
      </c>
      <c r="V50" s="330">
        <f t="shared" si="9"/>
        <v>152</v>
      </c>
    </row>
    <row r="51" spans="1:22" ht="18" x14ac:dyDescent="0.3">
      <c r="A51" s="332" t="s">
        <v>81</v>
      </c>
      <c r="B51" s="104"/>
      <c r="C51" s="331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</row>
    <row r="52" spans="1:22" ht="18" x14ac:dyDescent="0.3">
      <c r="A52" s="332"/>
      <c r="B52" s="104"/>
      <c r="C52" s="331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</row>
    <row r="53" spans="1:22" ht="15.6" x14ac:dyDescent="0.3">
      <c r="A53" s="335" t="s">
        <v>124</v>
      </c>
      <c r="B53" s="104"/>
      <c r="C53" s="331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</row>
    <row r="54" spans="1:22" ht="15" x14ac:dyDescent="0.25">
      <c r="A54" s="333"/>
      <c r="B54" s="143"/>
      <c r="C54" s="33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</row>
    <row r="55" spans="1:22" ht="15" x14ac:dyDescent="0.25">
      <c r="A55" s="370" t="s">
        <v>28</v>
      </c>
      <c r="B55" s="392" t="s">
        <v>0</v>
      </c>
      <c r="C55" s="393" t="s">
        <v>95</v>
      </c>
      <c r="D55" s="392" t="s">
        <v>67</v>
      </c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</row>
    <row r="56" spans="1:22" ht="17.399999999999999" x14ac:dyDescent="0.25">
      <c r="A56" s="370"/>
      <c r="B56" s="392"/>
      <c r="C56" s="393"/>
      <c r="D56" s="392" t="s">
        <v>68</v>
      </c>
      <c r="E56" s="392"/>
      <c r="F56" s="392"/>
      <c r="G56" s="392" t="s">
        <v>111</v>
      </c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70" t="s">
        <v>69</v>
      </c>
      <c r="T56" s="370"/>
      <c r="U56" s="370"/>
      <c r="V56" s="370"/>
    </row>
    <row r="57" spans="1:22" ht="15.6" customHeight="1" x14ac:dyDescent="0.25">
      <c r="A57" s="370"/>
      <c r="B57" s="392"/>
      <c r="C57" s="392"/>
      <c r="D57" s="393" t="s">
        <v>30</v>
      </c>
      <c r="E57" s="393"/>
      <c r="F57" s="393"/>
      <c r="G57" s="392" t="s">
        <v>91</v>
      </c>
      <c r="H57" s="392"/>
      <c r="I57" s="392" t="s">
        <v>92</v>
      </c>
      <c r="J57" s="392"/>
      <c r="K57" s="392" t="s">
        <v>93</v>
      </c>
      <c r="L57" s="392"/>
      <c r="M57" s="392" t="s">
        <v>56</v>
      </c>
      <c r="N57" s="392"/>
      <c r="O57" s="393" t="s">
        <v>30</v>
      </c>
      <c r="P57" s="393"/>
      <c r="Q57" s="370" t="s">
        <v>97</v>
      </c>
      <c r="R57" s="370"/>
      <c r="S57" s="393" t="s">
        <v>30</v>
      </c>
      <c r="T57" s="393"/>
      <c r="U57" s="370" t="s">
        <v>97</v>
      </c>
      <c r="V57" s="370"/>
    </row>
    <row r="58" spans="1:22" ht="31.2" x14ac:dyDescent="0.25">
      <c r="A58" s="370"/>
      <c r="B58" s="392"/>
      <c r="C58" s="392"/>
      <c r="D58" s="303" t="s">
        <v>8</v>
      </c>
      <c r="E58" s="357" t="s">
        <v>49</v>
      </c>
      <c r="F58" s="357" t="s">
        <v>10</v>
      </c>
      <c r="G58" s="303" t="s">
        <v>8</v>
      </c>
      <c r="H58" s="357" t="s">
        <v>49</v>
      </c>
      <c r="I58" s="303" t="s">
        <v>8</v>
      </c>
      <c r="J58" s="357" t="s">
        <v>49</v>
      </c>
      <c r="K58" s="303" t="s">
        <v>8</v>
      </c>
      <c r="L58" s="357" t="s">
        <v>49</v>
      </c>
      <c r="M58" s="303" t="s">
        <v>8</v>
      </c>
      <c r="N58" s="357" t="s">
        <v>49</v>
      </c>
      <c r="O58" s="303" t="s">
        <v>8</v>
      </c>
      <c r="P58" s="357" t="s">
        <v>49</v>
      </c>
      <c r="Q58" s="303" t="s">
        <v>8</v>
      </c>
      <c r="R58" s="357" t="s">
        <v>49</v>
      </c>
      <c r="S58" s="303" t="s">
        <v>8</v>
      </c>
      <c r="T58" s="357" t="s">
        <v>49</v>
      </c>
      <c r="U58" s="303" t="s">
        <v>8</v>
      </c>
      <c r="V58" s="357" t="s">
        <v>49</v>
      </c>
    </row>
    <row r="59" spans="1:22" ht="15.6" x14ac:dyDescent="0.25">
      <c r="A59" s="304">
        <v>1</v>
      </c>
      <c r="B59" s="304">
        <v>2</v>
      </c>
      <c r="C59" s="304">
        <v>2</v>
      </c>
      <c r="D59" s="298">
        <v>3</v>
      </c>
      <c r="E59" s="304">
        <v>4</v>
      </c>
      <c r="F59" s="304">
        <v>5</v>
      </c>
      <c r="G59" s="298">
        <f>F59+1</f>
        <v>6</v>
      </c>
      <c r="H59" s="304">
        <f t="shared" ref="H59:V59" si="10">G59+1</f>
        <v>7</v>
      </c>
      <c r="I59" s="298">
        <f t="shared" si="10"/>
        <v>8</v>
      </c>
      <c r="J59" s="304">
        <f t="shared" si="10"/>
        <v>9</v>
      </c>
      <c r="K59" s="298">
        <f t="shared" si="10"/>
        <v>10</v>
      </c>
      <c r="L59" s="304">
        <f t="shared" si="10"/>
        <v>11</v>
      </c>
      <c r="M59" s="298">
        <f t="shared" si="10"/>
        <v>12</v>
      </c>
      <c r="N59" s="304">
        <f t="shared" si="10"/>
        <v>13</v>
      </c>
      <c r="O59" s="298">
        <v>12</v>
      </c>
      <c r="P59" s="304">
        <f t="shared" si="10"/>
        <v>13</v>
      </c>
      <c r="Q59" s="298">
        <v>14</v>
      </c>
      <c r="R59" s="304">
        <f t="shared" si="10"/>
        <v>15</v>
      </c>
      <c r="S59" s="298">
        <f t="shared" si="10"/>
        <v>16</v>
      </c>
      <c r="T59" s="304">
        <f t="shared" si="10"/>
        <v>17</v>
      </c>
      <c r="U59" s="298">
        <v>18</v>
      </c>
      <c r="V59" s="304">
        <f t="shared" si="10"/>
        <v>19</v>
      </c>
    </row>
    <row r="60" spans="1:22" ht="30.6" x14ac:dyDescent="0.3">
      <c r="A60" s="104">
        <v>1</v>
      </c>
      <c r="B60" s="104" t="s">
        <v>82</v>
      </c>
      <c r="C60" s="119" t="s">
        <v>11</v>
      </c>
      <c r="D60" s="120">
        <f>Sek_1!AA48</f>
        <v>763</v>
      </c>
      <c r="E60" s="104">
        <f>Sek_1!AB48</f>
        <v>417</v>
      </c>
      <c r="F60" s="104">
        <f>Sek_1!AE48</f>
        <v>25</v>
      </c>
      <c r="G60" s="120">
        <v>167</v>
      </c>
      <c r="H60" s="104">
        <v>94</v>
      </c>
      <c r="I60" s="120">
        <v>183</v>
      </c>
      <c r="J60" s="104">
        <v>101</v>
      </c>
      <c r="K60" s="120">
        <v>168</v>
      </c>
      <c r="L60" s="104">
        <v>108</v>
      </c>
      <c r="M60" s="356"/>
      <c r="N60" s="356"/>
      <c r="O60" s="120">
        <f>G60+I60+K60+M60</f>
        <v>518</v>
      </c>
      <c r="P60" s="104">
        <f>H60+J60+L60+N60</f>
        <v>303</v>
      </c>
      <c r="Q60" s="120">
        <v>10</v>
      </c>
      <c r="R60" s="104">
        <v>8</v>
      </c>
      <c r="S60" s="330">
        <f>D60+O60</f>
        <v>1281</v>
      </c>
      <c r="T60" s="104">
        <f>E60+P60</f>
        <v>720</v>
      </c>
      <c r="U60" s="120">
        <f>Sek_1!AC48+Sek_2!Q60</f>
        <v>28</v>
      </c>
      <c r="V60" s="104">
        <f>Sek_1!AD48+Sek_2!R60</f>
        <v>19</v>
      </c>
    </row>
    <row r="61" spans="1:22" ht="27.6" x14ac:dyDescent="0.3">
      <c r="A61" s="104">
        <v>2</v>
      </c>
      <c r="B61" s="104" t="s">
        <v>82</v>
      </c>
      <c r="C61" s="119" t="s">
        <v>75</v>
      </c>
      <c r="D61" s="120">
        <f>Sek_1!AA49</f>
        <v>660</v>
      </c>
      <c r="E61" s="104">
        <f>Sek_1!AB49</f>
        <v>307</v>
      </c>
      <c r="F61" s="104">
        <f>Sek_1!AE49</f>
        <v>24</v>
      </c>
      <c r="G61" s="120">
        <v>132</v>
      </c>
      <c r="H61" s="104">
        <v>62</v>
      </c>
      <c r="I61" s="120">
        <v>141</v>
      </c>
      <c r="J61" s="104">
        <v>57</v>
      </c>
      <c r="K61" s="120">
        <v>133</v>
      </c>
      <c r="L61" s="104">
        <v>70</v>
      </c>
      <c r="M61" s="356"/>
      <c r="N61" s="356"/>
      <c r="O61" s="120">
        <f t="shared" ref="O61:O70" si="11">G61+I61+K61+M61</f>
        <v>406</v>
      </c>
      <c r="P61" s="104">
        <f t="shared" ref="P61:P70" si="12">H61+J61+L61+N61</f>
        <v>189</v>
      </c>
      <c r="Q61" s="120">
        <v>10</v>
      </c>
      <c r="R61" s="104">
        <v>6</v>
      </c>
      <c r="S61" s="330">
        <f>D61+O61</f>
        <v>1066</v>
      </c>
      <c r="T61" s="104">
        <f>E61+P61</f>
        <v>496</v>
      </c>
      <c r="U61" s="120">
        <f>Sek_1!AC49+Sek_2!Q61</f>
        <v>26</v>
      </c>
      <c r="V61" s="104">
        <f>Sek_1!AD49+Sek_2!R61</f>
        <v>15</v>
      </c>
    </row>
    <row r="62" spans="1:22" ht="30.6" x14ac:dyDescent="0.3">
      <c r="A62" s="104">
        <v>3</v>
      </c>
      <c r="B62" s="104" t="s">
        <v>82</v>
      </c>
      <c r="C62" s="119" t="s">
        <v>13</v>
      </c>
      <c r="D62" s="120">
        <f>Sek_1!AA50</f>
        <v>393</v>
      </c>
      <c r="E62" s="104">
        <f>Sek_1!AB50</f>
        <v>209</v>
      </c>
      <c r="F62" s="104">
        <f>Sek_1!AE50</f>
        <v>14</v>
      </c>
      <c r="G62" s="120">
        <v>110</v>
      </c>
      <c r="H62" s="104">
        <v>48</v>
      </c>
      <c r="I62" s="120">
        <v>68</v>
      </c>
      <c r="J62" s="104">
        <v>28</v>
      </c>
      <c r="K62" s="120">
        <v>96</v>
      </c>
      <c r="L62" s="104">
        <v>47</v>
      </c>
      <c r="M62" s="356"/>
      <c r="N62" s="356"/>
      <c r="O62" s="120">
        <f t="shared" si="11"/>
        <v>274</v>
      </c>
      <c r="P62" s="104">
        <f t="shared" si="12"/>
        <v>123</v>
      </c>
      <c r="Q62" s="120">
        <v>22</v>
      </c>
      <c r="R62" s="104">
        <v>8</v>
      </c>
      <c r="S62" s="330">
        <f>D62+O62</f>
        <v>667</v>
      </c>
      <c r="T62" s="104">
        <f>E62+P62</f>
        <v>332</v>
      </c>
      <c r="U62" s="120">
        <f>Sek_1!AC50+Sek_2!Q62</f>
        <v>48</v>
      </c>
      <c r="V62" s="104">
        <f>Sek_1!AD50+Sek_2!R62</f>
        <v>23</v>
      </c>
    </row>
    <row r="63" spans="1:22" ht="15.6" x14ac:dyDescent="0.3">
      <c r="A63" s="104">
        <v>4</v>
      </c>
      <c r="B63" s="104" t="s">
        <v>82</v>
      </c>
      <c r="C63" s="124" t="s">
        <v>14</v>
      </c>
      <c r="D63" s="120">
        <f>Sek_1!AA51</f>
        <v>610</v>
      </c>
      <c r="E63" s="104">
        <f>Sek_1!AB51</f>
        <v>271</v>
      </c>
      <c r="F63" s="104">
        <f>Sek_1!AE51</f>
        <v>20</v>
      </c>
      <c r="G63" s="120">
        <v>126</v>
      </c>
      <c r="H63" s="104">
        <v>52</v>
      </c>
      <c r="I63" s="120">
        <v>117</v>
      </c>
      <c r="J63" s="104">
        <v>49</v>
      </c>
      <c r="K63" s="120">
        <v>126</v>
      </c>
      <c r="L63" s="104">
        <v>40</v>
      </c>
      <c r="M63" s="356"/>
      <c r="N63" s="356"/>
      <c r="O63" s="120">
        <f t="shared" si="11"/>
        <v>369</v>
      </c>
      <c r="P63" s="104">
        <f t="shared" si="12"/>
        <v>141</v>
      </c>
      <c r="Q63" s="120">
        <v>17</v>
      </c>
      <c r="R63" s="104">
        <v>6</v>
      </c>
      <c r="S63" s="330">
        <f>D63+O63</f>
        <v>979</v>
      </c>
      <c r="T63" s="104">
        <f>E63+P63</f>
        <v>412</v>
      </c>
      <c r="U63" s="120">
        <f>Sek_1!AC51+Sek_2!Q63</f>
        <v>61</v>
      </c>
      <c r="V63" s="104">
        <f>Sek_1!AD51+Sek_2!R63</f>
        <v>27</v>
      </c>
    </row>
    <row r="64" spans="1:22" ht="15.6" x14ac:dyDescent="0.3">
      <c r="A64" s="104">
        <v>5</v>
      </c>
      <c r="B64" s="104" t="s">
        <v>82</v>
      </c>
      <c r="C64" s="124" t="s">
        <v>15</v>
      </c>
      <c r="D64" s="120">
        <f>Sek_1!AA52</f>
        <v>644</v>
      </c>
      <c r="E64" s="104">
        <f>Sek_1!AB52</f>
        <v>353</v>
      </c>
      <c r="F64" s="104">
        <f>Sek_1!AE52</f>
        <v>24</v>
      </c>
      <c r="G64" s="120">
        <f>150+1</f>
        <v>151</v>
      </c>
      <c r="H64" s="104">
        <v>83</v>
      </c>
      <c r="I64" s="120">
        <v>133</v>
      </c>
      <c r="J64" s="104">
        <v>64</v>
      </c>
      <c r="K64" s="120">
        <v>117</v>
      </c>
      <c r="L64" s="104">
        <v>68</v>
      </c>
      <c r="M64" s="356"/>
      <c r="N64" s="356"/>
      <c r="O64" s="120">
        <f t="shared" si="11"/>
        <v>401</v>
      </c>
      <c r="P64" s="104">
        <f t="shared" si="12"/>
        <v>215</v>
      </c>
      <c r="Q64" s="120">
        <v>4</v>
      </c>
      <c r="R64" s="104">
        <v>3</v>
      </c>
      <c r="S64" s="330">
        <f>D64+O64</f>
        <v>1045</v>
      </c>
      <c r="T64" s="104">
        <f>E64+P64</f>
        <v>568</v>
      </c>
      <c r="U64" s="120">
        <f>Sek_1!AC52+Sek_2!Q64</f>
        <v>12</v>
      </c>
      <c r="V64" s="104">
        <f>Sek_1!AD52+Sek_2!R64</f>
        <v>8</v>
      </c>
    </row>
    <row r="65" spans="1:22" ht="15.6" x14ac:dyDescent="0.3">
      <c r="A65" s="104">
        <v>6</v>
      </c>
      <c r="B65" s="104" t="s">
        <v>82</v>
      </c>
      <c r="C65" s="119" t="s">
        <v>16</v>
      </c>
      <c r="D65" s="120">
        <f>Sek_1!AA53</f>
        <v>515</v>
      </c>
      <c r="E65" s="104">
        <f>Sek_1!AB53</f>
        <v>245</v>
      </c>
      <c r="F65" s="104">
        <f>Sek_1!AE53</f>
        <v>19</v>
      </c>
      <c r="G65" s="120">
        <v>117</v>
      </c>
      <c r="H65" s="104">
        <v>67</v>
      </c>
      <c r="I65" s="120">
        <v>133</v>
      </c>
      <c r="J65" s="104">
        <v>65</v>
      </c>
      <c r="K65" s="120">
        <v>115</v>
      </c>
      <c r="L65" s="104">
        <v>53</v>
      </c>
      <c r="M65" s="356"/>
      <c r="N65" s="356"/>
      <c r="O65" s="120">
        <f t="shared" si="11"/>
        <v>365</v>
      </c>
      <c r="P65" s="104">
        <f t="shared" si="12"/>
        <v>185</v>
      </c>
      <c r="Q65" s="120">
        <v>8</v>
      </c>
      <c r="R65" s="104">
        <v>3</v>
      </c>
      <c r="S65" s="330">
        <f>D65+O65</f>
        <v>880</v>
      </c>
      <c r="T65" s="104">
        <f>E65+P65</f>
        <v>430</v>
      </c>
      <c r="U65" s="120">
        <f>Sek_1!AC53+Sek_2!Q65</f>
        <v>18</v>
      </c>
      <c r="V65" s="104">
        <f>Sek_1!AD53+Sek_2!R65</f>
        <v>9</v>
      </c>
    </row>
    <row r="66" spans="1:22" ht="30.6" x14ac:dyDescent="0.3">
      <c r="A66" s="104">
        <v>7</v>
      </c>
      <c r="B66" s="104" t="s">
        <v>82</v>
      </c>
      <c r="C66" s="119" t="s">
        <v>17</v>
      </c>
      <c r="D66" s="120">
        <f>Sek_1!AA54</f>
        <v>326</v>
      </c>
      <c r="E66" s="104">
        <f>Sek_1!AB54</f>
        <v>156</v>
      </c>
      <c r="F66" s="104">
        <f>Sek_1!AE54</f>
        <v>12</v>
      </c>
      <c r="G66" s="144">
        <v>76</v>
      </c>
      <c r="H66" s="143">
        <v>39</v>
      </c>
      <c r="I66" s="144">
        <v>59</v>
      </c>
      <c r="J66" s="143">
        <v>29</v>
      </c>
      <c r="K66" s="144">
        <v>120</v>
      </c>
      <c r="L66" s="143">
        <v>71</v>
      </c>
      <c r="M66" s="356"/>
      <c r="N66" s="356"/>
      <c r="O66" s="120">
        <f>G66+I66+K66+M66</f>
        <v>255</v>
      </c>
      <c r="P66" s="104">
        <f>H66+J66+L66+N66</f>
        <v>139</v>
      </c>
      <c r="Q66" s="144">
        <v>3</v>
      </c>
      <c r="R66" s="143">
        <v>1</v>
      </c>
      <c r="S66" s="330">
        <f>D66+O66</f>
        <v>581</v>
      </c>
      <c r="T66" s="104">
        <f>E66+P66</f>
        <v>295</v>
      </c>
      <c r="U66" s="120">
        <f>Sek_1!AC54+Sek_2!Q66</f>
        <v>10</v>
      </c>
      <c r="V66" s="104">
        <f>Sek_1!AD54+Sek_2!R66</f>
        <v>6</v>
      </c>
    </row>
    <row r="67" spans="1:22" ht="15.6" x14ac:dyDescent="0.3">
      <c r="A67" s="104">
        <v>8</v>
      </c>
      <c r="B67" s="104" t="s">
        <v>82</v>
      </c>
      <c r="C67" s="124" t="s">
        <v>18</v>
      </c>
      <c r="D67" s="120">
        <f>Sek_1!AA55</f>
        <v>549</v>
      </c>
      <c r="E67" s="104">
        <f>Sek_1!AB55</f>
        <v>259</v>
      </c>
      <c r="F67" s="104">
        <f>Sek_1!AE55</f>
        <v>20</v>
      </c>
      <c r="G67" s="120">
        <v>144</v>
      </c>
      <c r="H67" s="104">
        <v>84</v>
      </c>
      <c r="I67" s="120">
        <v>132</v>
      </c>
      <c r="J67" s="104">
        <v>80</v>
      </c>
      <c r="K67" s="120">
        <v>152</v>
      </c>
      <c r="L67" s="104">
        <v>84</v>
      </c>
      <c r="M67" s="356"/>
      <c r="N67" s="356"/>
      <c r="O67" s="120">
        <f>G67+I67+K67+M67</f>
        <v>428</v>
      </c>
      <c r="P67" s="104">
        <f>H67+J67+L67+N67</f>
        <v>248</v>
      </c>
      <c r="Q67" s="120">
        <v>8</v>
      </c>
      <c r="R67" s="104">
        <v>4</v>
      </c>
      <c r="S67" s="330">
        <f>D67+O67</f>
        <v>977</v>
      </c>
      <c r="T67" s="104">
        <f>E67+P67</f>
        <v>507</v>
      </c>
      <c r="U67" s="120">
        <f>Sek_1!AC55+Sek_2!Q67</f>
        <v>25</v>
      </c>
      <c r="V67" s="104">
        <f>Sek_1!AD55+Sek_2!R67</f>
        <v>9</v>
      </c>
    </row>
    <row r="68" spans="1:22" ht="15.6" x14ac:dyDescent="0.3">
      <c r="A68" s="104">
        <v>9</v>
      </c>
      <c r="B68" s="104" t="s">
        <v>82</v>
      </c>
      <c r="C68" s="124" t="s">
        <v>19</v>
      </c>
      <c r="D68" s="120">
        <f>Sek_1!AA56</f>
        <v>467</v>
      </c>
      <c r="E68" s="104">
        <f>Sek_1!AB56</f>
        <v>191</v>
      </c>
      <c r="F68" s="104">
        <f>Sek_1!AE56</f>
        <v>17</v>
      </c>
      <c r="G68" s="120">
        <v>69</v>
      </c>
      <c r="H68" s="104">
        <v>29</v>
      </c>
      <c r="I68" s="120">
        <v>79</v>
      </c>
      <c r="J68" s="104">
        <v>41</v>
      </c>
      <c r="K68" s="120">
        <v>57</v>
      </c>
      <c r="L68" s="104">
        <v>23</v>
      </c>
      <c r="M68" s="356"/>
      <c r="N68" s="356"/>
      <c r="O68" s="120">
        <f t="shared" si="11"/>
        <v>205</v>
      </c>
      <c r="P68" s="104">
        <f t="shared" si="12"/>
        <v>93</v>
      </c>
      <c r="Q68" s="120">
        <v>4</v>
      </c>
      <c r="R68" s="104">
        <v>1</v>
      </c>
      <c r="S68" s="330">
        <f>D68+O68</f>
        <v>672</v>
      </c>
      <c r="T68" s="104">
        <f>E68+P68</f>
        <v>284</v>
      </c>
      <c r="U68" s="120">
        <f>Sek_1!AC56+Sek_2!Q68</f>
        <v>19</v>
      </c>
      <c r="V68" s="104">
        <f>Sek_1!AD56+Sek_2!R68</f>
        <v>6</v>
      </c>
    </row>
    <row r="69" spans="1:22" ht="15.6" x14ac:dyDescent="0.3">
      <c r="A69" s="104">
        <v>10</v>
      </c>
      <c r="B69" s="104" t="s">
        <v>82</v>
      </c>
      <c r="C69" s="124" t="s">
        <v>20</v>
      </c>
      <c r="D69" s="120">
        <f>Sek_1!AA57</f>
        <v>513</v>
      </c>
      <c r="E69" s="104">
        <f>Sek_1!AB57</f>
        <v>219</v>
      </c>
      <c r="F69" s="104">
        <f>Sek_1!AE57</f>
        <v>19</v>
      </c>
      <c r="G69" s="120">
        <v>78</v>
      </c>
      <c r="H69" s="104">
        <v>33</v>
      </c>
      <c r="I69" s="120">
        <v>83</v>
      </c>
      <c r="J69" s="104">
        <v>47</v>
      </c>
      <c r="K69" s="120">
        <v>122</v>
      </c>
      <c r="L69" s="104">
        <v>52</v>
      </c>
      <c r="M69" s="356"/>
      <c r="N69" s="356"/>
      <c r="O69" s="120">
        <f t="shared" si="11"/>
        <v>283</v>
      </c>
      <c r="P69" s="104">
        <f t="shared" si="12"/>
        <v>132</v>
      </c>
      <c r="Q69" s="120">
        <v>4</v>
      </c>
      <c r="R69" s="104">
        <v>0</v>
      </c>
      <c r="S69" s="330">
        <f>D69+O69</f>
        <v>796</v>
      </c>
      <c r="T69" s="104">
        <f>E69+P69</f>
        <v>351</v>
      </c>
      <c r="U69" s="120">
        <f>Sek_1!AC57+Sek_2!Q69</f>
        <v>15</v>
      </c>
      <c r="V69" s="104">
        <f>Sek_1!AD57+Sek_2!R69</f>
        <v>4</v>
      </c>
    </row>
    <row r="70" spans="1:22" ht="15.6" x14ac:dyDescent="0.3">
      <c r="A70" s="104">
        <v>11</v>
      </c>
      <c r="B70" s="104" t="s">
        <v>82</v>
      </c>
      <c r="C70" s="119" t="s">
        <v>21</v>
      </c>
      <c r="D70" s="120">
        <f>Sek_1!AA58</f>
        <v>582</v>
      </c>
      <c r="E70" s="104">
        <f>Sek_1!AB58</f>
        <v>223</v>
      </c>
      <c r="F70" s="104">
        <f>Sek_1!AE58</f>
        <v>20</v>
      </c>
      <c r="G70" s="120">
        <v>122</v>
      </c>
      <c r="H70" s="104">
        <v>43</v>
      </c>
      <c r="I70" s="120">
        <v>113</v>
      </c>
      <c r="J70" s="104">
        <v>45</v>
      </c>
      <c r="K70" s="120">
        <f>128+1</f>
        <v>129</v>
      </c>
      <c r="L70" s="104">
        <f>57+1</f>
        <v>58</v>
      </c>
      <c r="M70" s="356"/>
      <c r="N70" s="356"/>
      <c r="O70" s="120">
        <f t="shared" si="11"/>
        <v>364</v>
      </c>
      <c r="P70" s="104">
        <f t="shared" si="12"/>
        <v>146</v>
      </c>
      <c r="Q70" s="120">
        <v>8</v>
      </c>
      <c r="R70" s="104">
        <v>5</v>
      </c>
      <c r="S70" s="330">
        <f>D70+O70</f>
        <v>946</v>
      </c>
      <c r="T70" s="104">
        <f>E70+P70</f>
        <v>369</v>
      </c>
      <c r="U70" s="120">
        <f>Sek_1!AC58+Sek_2!Q70</f>
        <v>17</v>
      </c>
      <c r="V70" s="104">
        <f>Sek_1!AD58+Sek_2!R70</f>
        <v>9</v>
      </c>
    </row>
    <row r="71" spans="1:22" s="133" customFormat="1" ht="31.2" x14ac:dyDescent="0.3">
      <c r="A71" s="120"/>
      <c r="B71" s="120" t="s">
        <v>82</v>
      </c>
      <c r="C71" s="331" t="s">
        <v>53</v>
      </c>
      <c r="D71" s="330">
        <f>SUM(D60:D70)</f>
        <v>6022</v>
      </c>
      <c r="E71" s="330">
        <f>SUM(E60:E70)</f>
        <v>2850</v>
      </c>
      <c r="F71" s="330">
        <f>SUM(F60:F70)</f>
        <v>214</v>
      </c>
      <c r="G71" s="330">
        <f t="shared" ref="G71:L71" si="13">SUM(G60:G70)</f>
        <v>1292</v>
      </c>
      <c r="H71" s="330">
        <f t="shared" si="13"/>
        <v>634</v>
      </c>
      <c r="I71" s="330">
        <f t="shared" si="13"/>
        <v>1241</v>
      </c>
      <c r="J71" s="330">
        <f t="shared" si="13"/>
        <v>606</v>
      </c>
      <c r="K71" s="330">
        <f t="shared" si="13"/>
        <v>1335</v>
      </c>
      <c r="L71" s="330">
        <f t="shared" si="13"/>
        <v>674</v>
      </c>
      <c r="M71" s="330">
        <f t="shared" ref="M71:R71" si="14">M60+M61+M62+M63+M64+M65+M66+M67+M68+M69+M70</f>
        <v>0</v>
      </c>
      <c r="N71" s="330">
        <f t="shared" si="14"/>
        <v>0</v>
      </c>
      <c r="O71" s="330">
        <f t="shared" si="14"/>
        <v>3868</v>
      </c>
      <c r="P71" s="330">
        <f t="shared" si="14"/>
        <v>1914</v>
      </c>
      <c r="Q71" s="330">
        <f t="shared" si="14"/>
        <v>98</v>
      </c>
      <c r="R71" s="330">
        <f t="shared" si="14"/>
        <v>45</v>
      </c>
      <c r="S71" s="330">
        <f t="shared" ref="S71:V71" si="15">S60+S61+S62+S63+S64+S65+S66+S67+S68+S69+S70</f>
        <v>9890</v>
      </c>
      <c r="T71" s="330">
        <f t="shared" si="15"/>
        <v>4764</v>
      </c>
      <c r="U71" s="330">
        <f t="shared" si="15"/>
        <v>279</v>
      </c>
      <c r="V71" s="330">
        <f t="shared" si="15"/>
        <v>135</v>
      </c>
    </row>
    <row r="72" spans="1:22" ht="30.6" x14ac:dyDescent="0.3">
      <c r="A72" s="104">
        <v>1</v>
      </c>
      <c r="B72" s="104" t="s">
        <v>83</v>
      </c>
      <c r="C72" s="119" t="s">
        <v>11</v>
      </c>
      <c r="D72" s="120">
        <f>Sek_1!AA62</f>
        <v>742</v>
      </c>
      <c r="E72" s="104">
        <f>Sek_1!AB62</f>
        <v>404</v>
      </c>
      <c r="F72" s="104">
        <f>Sek_1!AE62</f>
        <v>25</v>
      </c>
      <c r="G72" s="120">
        <v>169</v>
      </c>
      <c r="H72" s="104">
        <v>93</v>
      </c>
      <c r="I72" s="120">
        <v>163</v>
      </c>
      <c r="J72" s="104">
        <v>93</v>
      </c>
      <c r="K72" s="120">
        <v>174</v>
      </c>
      <c r="L72" s="104">
        <v>93</v>
      </c>
      <c r="M72" s="391"/>
      <c r="N72" s="391"/>
      <c r="O72" s="120">
        <f>G72+I72+K72</f>
        <v>506</v>
      </c>
      <c r="P72" s="104">
        <f>H72+J72+L72+N72</f>
        <v>279</v>
      </c>
      <c r="Q72" s="120">
        <v>10</v>
      </c>
      <c r="R72" s="104">
        <v>5</v>
      </c>
      <c r="S72" s="330">
        <f>D72+O72</f>
        <v>1248</v>
      </c>
      <c r="T72" s="104">
        <f>E72+P72</f>
        <v>683</v>
      </c>
      <c r="U72" s="120">
        <f>Sek_1!AC62+Sek_2!Q72</f>
        <v>27</v>
      </c>
      <c r="V72" s="104">
        <f>Sek_1!AD62+Sek_2!R72</f>
        <v>16</v>
      </c>
    </row>
    <row r="73" spans="1:22" ht="42.6" x14ac:dyDescent="0.3">
      <c r="A73" s="104">
        <v>2</v>
      </c>
      <c r="B73" s="104" t="s">
        <v>83</v>
      </c>
      <c r="C73" s="119" t="s">
        <v>85</v>
      </c>
      <c r="D73" s="120">
        <f>Sek_1!AA63</f>
        <v>657</v>
      </c>
      <c r="E73" s="104">
        <f>Sek_1!AB63</f>
        <v>286</v>
      </c>
      <c r="F73" s="104">
        <f>Sek_1!AE63</f>
        <v>24</v>
      </c>
      <c r="G73" s="120">
        <v>124</v>
      </c>
      <c r="H73" s="104">
        <v>62</v>
      </c>
      <c r="I73" s="120">
        <v>112</v>
      </c>
      <c r="J73" s="104">
        <v>56</v>
      </c>
      <c r="K73" s="120">
        <v>138</v>
      </c>
      <c r="L73" s="104">
        <v>56</v>
      </c>
      <c r="M73" s="391"/>
      <c r="N73" s="391"/>
      <c r="O73" s="120">
        <f t="shared" ref="O73:O77" si="16">G73+I73+K73+M73</f>
        <v>374</v>
      </c>
      <c r="P73" s="104">
        <f t="shared" ref="P73:P77" si="17">H73+J73+L73+N73</f>
        <v>174</v>
      </c>
      <c r="Q73" s="120">
        <v>6</v>
      </c>
      <c r="R73" s="104">
        <v>3</v>
      </c>
      <c r="S73" s="330">
        <f>D73+O73</f>
        <v>1031</v>
      </c>
      <c r="T73" s="104">
        <f>E73+P73</f>
        <v>460</v>
      </c>
      <c r="U73" s="120">
        <f>Sek_1!AC63+Sek_2!Q73</f>
        <v>24</v>
      </c>
      <c r="V73" s="104">
        <f>Sek_1!AD63+Sek_2!R73</f>
        <v>13</v>
      </c>
    </row>
    <row r="74" spans="1:22" ht="46.2" x14ac:dyDescent="0.3">
      <c r="A74" s="104">
        <v>3</v>
      </c>
      <c r="B74" s="104" t="s">
        <v>83</v>
      </c>
      <c r="C74" s="119" t="s">
        <v>86</v>
      </c>
      <c r="D74" s="120">
        <f>Sek_1!AA64</f>
        <v>373</v>
      </c>
      <c r="E74" s="104">
        <f>Sek_1!AB64</f>
        <v>197</v>
      </c>
      <c r="F74" s="104">
        <f>Sek_1!AE64</f>
        <v>14</v>
      </c>
      <c r="G74" s="120">
        <v>100</v>
      </c>
      <c r="H74" s="104">
        <v>41</v>
      </c>
      <c r="I74" s="120">
        <v>100</v>
      </c>
      <c r="J74" s="104">
        <v>45</v>
      </c>
      <c r="K74" s="120">
        <v>55</v>
      </c>
      <c r="L74" s="104">
        <v>26</v>
      </c>
      <c r="M74" s="391"/>
      <c r="N74" s="391"/>
      <c r="O74" s="120">
        <f t="shared" si="16"/>
        <v>255</v>
      </c>
      <c r="P74" s="104">
        <f t="shared" si="17"/>
        <v>112</v>
      </c>
      <c r="Q74" s="120">
        <v>19</v>
      </c>
      <c r="R74" s="104">
        <v>7</v>
      </c>
      <c r="S74" s="330">
        <f>D74+O74</f>
        <v>628</v>
      </c>
      <c r="T74" s="104">
        <f>E74+P74</f>
        <v>309</v>
      </c>
      <c r="U74" s="120">
        <f>Sek_1!AC64+Sek_2!Q74</f>
        <v>50</v>
      </c>
      <c r="V74" s="104">
        <f>Sek_1!AD64+Sek_2!R74</f>
        <v>21</v>
      </c>
    </row>
    <row r="75" spans="1:22" ht="15.6" x14ac:dyDescent="0.3">
      <c r="A75" s="104">
        <v>4</v>
      </c>
      <c r="B75" s="104" t="s">
        <v>83</v>
      </c>
      <c r="C75" s="124" t="s">
        <v>14</v>
      </c>
      <c r="D75" s="120">
        <f>Sek_1!AA65</f>
        <v>601</v>
      </c>
      <c r="E75" s="104">
        <f>Sek_1!AB65</f>
        <v>262</v>
      </c>
      <c r="F75" s="104">
        <f>Sek_1!AE65</f>
        <v>20</v>
      </c>
      <c r="G75" s="120">
        <v>141</v>
      </c>
      <c r="H75" s="104">
        <v>67</v>
      </c>
      <c r="I75" s="120">
        <v>113</v>
      </c>
      <c r="J75" s="104">
        <v>49</v>
      </c>
      <c r="K75" s="120">
        <v>116</v>
      </c>
      <c r="L75" s="104">
        <v>48</v>
      </c>
      <c r="M75" s="391"/>
      <c r="N75" s="391"/>
      <c r="O75" s="120">
        <f t="shared" si="16"/>
        <v>370</v>
      </c>
      <c r="P75" s="104">
        <f t="shared" si="17"/>
        <v>164</v>
      </c>
      <c r="Q75" s="120">
        <v>20</v>
      </c>
      <c r="R75" s="104">
        <v>8</v>
      </c>
      <c r="S75" s="330">
        <f>D75+O75</f>
        <v>971</v>
      </c>
      <c r="T75" s="104">
        <f>E75+P75</f>
        <v>426</v>
      </c>
      <c r="U75" s="120">
        <f>Sek_1!AC65+Sek_2!Q75</f>
        <v>71</v>
      </c>
      <c r="V75" s="104">
        <f>Sek_1!AD65+Sek_2!R75</f>
        <v>28</v>
      </c>
    </row>
    <row r="76" spans="1:22" ht="15.6" x14ac:dyDescent="0.3">
      <c r="A76" s="104">
        <v>5</v>
      </c>
      <c r="B76" s="104" t="s">
        <v>83</v>
      </c>
      <c r="C76" s="124" t="s">
        <v>15</v>
      </c>
      <c r="D76" s="120">
        <f>Sek_1!AA66</f>
        <v>625</v>
      </c>
      <c r="E76" s="104">
        <f>Sek_1!AB66</f>
        <v>349</v>
      </c>
      <c r="F76" s="104">
        <f>Sek_1!AE66</f>
        <v>24</v>
      </c>
      <c r="G76" s="120">
        <v>126</v>
      </c>
      <c r="H76" s="104">
        <v>63</v>
      </c>
      <c r="I76" s="120">
        <v>145</v>
      </c>
      <c r="J76" s="104">
        <v>79</v>
      </c>
      <c r="K76" s="120">
        <v>127</v>
      </c>
      <c r="L76" s="104">
        <v>62</v>
      </c>
      <c r="M76" s="391"/>
      <c r="N76" s="391"/>
      <c r="O76" s="120">
        <f t="shared" si="16"/>
        <v>398</v>
      </c>
      <c r="P76" s="104">
        <f t="shared" si="17"/>
        <v>204</v>
      </c>
      <c r="Q76" s="120">
        <v>3</v>
      </c>
      <c r="R76" s="104">
        <v>1</v>
      </c>
      <c r="S76" s="330">
        <f>D76+O76</f>
        <v>1023</v>
      </c>
      <c r="T76" s="104">
        <f>E76+P76</f>
        <v>553</v>
      </c>
      <c r="U76" s="120">
        <f>Sek_1!AC66+Sek_2!Q76</f>
        <v>6</v>
      </c>
      <c r="V76" s="104">
        <f>Sek_1!AD66+Sek_2!R76</f>
        <v>4</v>
      </c>
    </row>
    <row r="77" spans="1:22" ht="15.6" x14ac:dyDescent="0.3">
      <c r="A77" s="104">
        <v>6</v>
      </c>
      <c r="B77" s="104" t="s">
        <v>83</v>
      </c>
      <c r="C77" s="119" t="s">
        <v>16</v>
      </c>
      <c r="D77" s="120">
        <f>Sek_1!AA67</f>
        <v>488</v>
      </c>
      <c r="E77" s="104">
        <f>Sek_1!AB67</f>
        <v>238</v>
      </c>
      <c r="F77" s="104">
        <f>Sek_1!AE67</f>
        <v>18</v>
      </c>
      <c r="G77" s="120">
        <v>120</v>
      </c>
      <c r="H77" s="104">
        <v>60</v>
      </c>
      <c r="I77" s="120">
        <v>118</v>
      </c>
      <c r="J77" s="104">
        <v>60</v>
      </c>
      <c r="K77" s="120">
        <v>120</v>
      </c>
      <c r="L77" s="104">
        <v>62</v>
      </c>
      <c r="M77" s="391"/>
      <c r="N77" s="391"/>
      <c r="O77" s="120">
        <f t="shared" si="16"/>
        <v>358</v>
      </c>
      <c r="P77" s="104">
        <f t="shared" si="17"/>
        <v>182</v>
      </c>
      <c r="Q77" s="120">
        <v>8</v>
      </c>
      <c r="R77" s="104">
        <v>4</v>
      </c>
      <c r="S77" s="330">
        <f>D77+O77</f>
        <v>846</v>
      </c>
      <c r="T77" s="104">
        <f>E77+P77</f>
        <v>420</v>
      </c>
      <c r="U77" s="120">
        <f>Sek_1!AC67+Sek_2!Q77</f>
        <v>22</v>
      </c>
      <c r="V77" s="104">
        <f>Sek_1!AD67+Sek_2!R77</f>
        <v>14</v>
      </c>
    </row>
    <row r="78" spans="1:22" ht="30.6" x14ac:dyDescent="0.3">
      <c r="A78" s="104">
        <v>7</v>
      </c>
      <c r="B78" s="104" t="s">
        <v>83</v>
      </c>
      <c r="C78" s="119" t="s">
        <v>17</v>
      </c>
      <c r="D78" s="120">
        <f>Sek_1!AA68</f>
        <v>317</v>
      </c>
      <c r="E78" s="104">
        <f>Sek_1!AB68</f>
        <v>139</v>
      </c>
      <c r="F78" s="104">
        <f>Sek_1!AE68</f>
        <v>11</v>
      </c>
      <c r="G78" s="144">
        <v>82</v>
      </c>
      <c r="H78" s="143">
        <v>41</v>
      </c>
      <c r="I78" s="144">
        <v>71</v>
      </c>
      <c r="J78" s="143">
        <v>33</v>
      </c>
      <c r="K78" s="144">
        <v>49</v>
      </c>
      <c r="L78" s="143">
        <v>25</v>
      </c>
      <c r="M78" s="391"/>
      <c r="N78" s="391"/>
      <c r="O78" s="120">
        <f>G78+I78+K78+M78</f>
        <v>202</v>
      </c>
      <c r="P78" s="104">
        <f>H78+J78+L78+N78</f>
        <v>99</v>
      </c>
      <c r="Q78" s="144">
        <v>5</v>
      </c>
      <c r="R78" s="143">
        <v>3</v>
      </c>
      <c r="S78" s="330">
        <f>D78+O78</f>
        <v>519</v>
      </c>
      <c r="T78" s="104">
        <f>E78+P78</f>
        <v>238</v>
      </c>
      <c r="U78" s="120">
        <f>Sek_1!AC68+Sek_2!Q78</f>
        <v>13</v>
      </c>
      <c r="V78" s="104">
        <f>Sek_1!AD68+Sek_2!R78</f>
        <v>8</v>
      </c>
    </row>
    <row r="79" spans="1:22" ht="15.6" x14ac:dyDescent="0.3">
      <c r="A79" s="104">
        <v>8</v>
      </c>
      <c r="B79" s="104" t="s">
        <v>83</v>
      </c>
      <c r="C79" s="124" t="s">
        <v>18</v>
      </c>
      <c r="D79" s="120">
        <f>Sek_1!AA69</f>
        <v>532</v>
      </c>
      <c r="E79" s="104">
        <f>Sek_1!AB69</f>
        <v>255</v>
      </c>
      <c r="F79" s="104">
        <f>Sek_1!AE69</f>
        <v>20</v>
      </c>
      <c r="G79" s="120">
        <v>129</v>
      </c>
      <c r="H79" s="104">
        <v>72</v>
      </c>
      <c r="I79" s="120">
        <v>137</v>
      </c>
      <c r="J79" s="104">
        <v>78</v>
      </c>
      <c r="K79" s="120">
        <v>135</v>
      </c>
      <c r="L79" s="104">
        <v>82</v>
      </c>
      <c r="M79" s="391"/>
      <c r="N79" s="391"/>
      <c r="O79" s="120">
        <f>G79+I79+K79+M79</f>
        <v>401</v>
      </c>
      <c r="P79" s="104">
        <f>H79+J79+L79+N79</f>
        <v>232</v>
      </c>
      <c r="Q79" s="120">
        <v>9</v>
      </c>
      <c r="R79" s="104">
        <v>4</v>
      </c>
      <c r="S79" s="330">
        <f>D79+O79</f>
        <v>933</v>
      </c>
      <c r="T79" s="104">
        <f>E79+P79</f>
        <v>487</v>
      </c>
      <c r="U79" s="120">
        <f>Sek_1!AC69+Sek_2!Q79</f>
        <v>28</v>
      </c>
      <c r="V79" s="104">
        <f>Sek_1!AD69+Sek_2!R79</f>
        <v>12</v>
      </c>
    </row>
    <row r="80" spans="1:22" ht="28.8" x14ac:dyDescent="0.3">
      <c r="A80" s="104">
        <v>9</v>
      </c>
      <c r="B80" s="104" t="s">
        <v>83</v>
      </c>
      <c r="C80" s="119" t="s">
        <v>84</v>
      </c>
      <c r="D80" s="120">
        <f>Sek_1!AA70</f>
        <v>464</v>
      </c>
      <c r="E80" s="104">
        <f>Sek_1!AB70</f>
        <v>196</v>
      </c>
      <c r="F80" s="104">
        <f>Sek_1!AE70</f>
        <v>17</v>
      </c>
      <c r="G80" s="120">
        <v>88</v>
      </c>
      <c r="H80" s="104">
        <v>39</v>
      </c>
      <c r="I80" s="120">
        <v>63</v>
      </c>
      <c r="J80" s="104">
        <v>26</v>
      </c>
      <c r="K80" s="120">
        <v>71</v>
      </c>
      <c r="L80" s="104">
        <v>36</v>
      </c>
      <c r="M80" s="391"/>
      <c r="N80" s="391"/>
      <c r="O80" s="120">
        <f t="shared" ref="O80:O82" si="18">G80+I80+K80+M80</f>
        <v>222</v>
      </c>
      <c r="P80" s="104">
        <f t="shared" ref="P80:P82" si="19">H80+J80+L80+N80</f>
        <v>101</v>
      </c>
      <c r="Q80" s="120">
        <v>5</v>
      </c>
      <c r="R80" s="104">
        <v>2</v>
      </c>
      <c r="S80" s="330">
        <f>D80+O80</f>
        <v>686</v>
      </c>
      <c r="T80" s="104">
        <f>E80+P80</f>
        <v>297</v>
      </c>
      <c r="U80" s="120">
        <f>Sek_1!AC70+Sek_2!Q80</f>
        <v>16</v>
      </c>
      <c r="V80" s="104">
        <f>Sek_1!AD70+Sek_2!R80</f>
        <v>4</v>
      </c>
    </row>
    <row r="81" spans="1:22" ht="15.6" x14ac:dyDescent="0.3">
      <c r="A81" s="104">
        <v>10</v>
      </c>
      <c r="B81" s="104" t="s">
        <v>83</v>
      </c>
      <c r="C81" s="124" t="s">
        <v>20</v>
      </c>
      <c r="D81" s="120">
        <f>Sek_1!AA71</f>
        <v>486</v>
      </c>
      <c r="E81" s="104">
        <f>Sek_1!AB71</f>
        <v>217</v>
      </c>
      <c r="F81" s="104">
        <f>Sek_1!AE71</f>
        <v>18</v>
      </c>
      <c r="G81" s="120">
        <v>115</v>
      </c>
      <c r="H81" s="104">
        <v>61</v>
      </c>
      <c r="I81" s="120">
        <v>79</v>
      </c>
      <c r="J81" s="104">
        <v>32</v>
      </c>
      <c r="K81" s="120">
        <v>81</v>
      </c>
      <c r="L81" s="104">
        <v>45</v>
      </c>
      <c r="M81" s="391"/>
      <c r="N81" s="391"/>
      <c r="O81" s="120">
        <f t="shared" si="18"/>
        <v>275</v>
      </c>
      <c r="P81" s="104">
        <f t="shared" si="19"/>
        <v>138</v>
      </c>
      <c r="Q81" s="120">
        <v>4</v>
      </c>
      <c r="R81" s="104">
        <v>2</v>
      </c>
      <c r="S81" s="330">
        <f>D81+O81</f>
        <v>761</v>
      </c>
      <c r="T81" s="104">
        <f>E81+P81</f>
        <v>355</v>
      </c>
      <c r="U81" s="120">
        <f>Sek_1!AC71+Sek_2!Q81</f>
        <v>13</v>
      </c>
      <c r="V81" s="104">
        <f>Sek_1!AD71+Sek_2!R81</f>
        <v>4</v>
      </c>
    </row>
    <row r="82" spans="1:22" ht="15.6" x14ac:dyDescent="0.3">
      <c r="A82" s="104">
        <v>11</v>
      </c>
      <c r="B82" s="104" t="s">
        <v>83</v>
      </c>
      <c r="C82" s="119" t="s">
        <v>21</v>
      </c>
      <c r="D82" s="120">
        <f>Sek_1!AA72</f>
        <v>581</v>
      </c>
      <c r="E82" s="104">
        <f>Sek_1!AB72</f>
        <v>231</v>
      </c>
      <c r="F82" s="104">
        <f>Sek_1!AE72</f>
        <v>20</v>
      </c>
      <c r="G82" s="120">
        <v>131</v>
      </c>
      <c r="H82" s="104">
        <v>52</v>
      </c>
      <c r="I82" s="120">
        <v>116</v>
      </c>
      <c r="J82" s="104">
        <v>41</v>
      </c>
      <c r="K82" s="120">
        <v>113</v>
      </c>
      <c r="L82" s="104">
        <v>44</v>
      </c>
      <c r="M82" s="391"/>
      <c r="N82" s="391"/>
      <c r="O82" s="120">
        <f t="shared" si="18"/>
        <v>360</v>
      </c>
      <c r="P82" s="104">
        <f t="shared" si="19"/>
        <v>137</v>
      </c>
      <c r="Q82" s="120">
        <v>10</v>
      </c>
      <c r="R82" s="104">
        <v>5</v>
      </c>
      <c r="S82" s="330">
        <f>D82+O82</f>
        <v>941</v>
      </c>
      <c r="T82" s="104">
        <f>E82+P82</f>
        <v>368</v>
      </c>
      <c r="U82" s="120">
        <f>Sek_1!AC72+Sek_2!Q82</f>
        <v>22</v>
      </c>
      <c r="V82" s="104">
        <f>Sek_1!AD72+Sek_2!R82</f>
        <v>10</v>
      </c>
    </row>
    <row r="83" spans="1:22" s="133" customFormat="1" ht="31.2" x14ac:dyDescent="0.3">
      <c r="A83" s="120"/>
      <c r="B83" s="120" t="s">
        <v>83</v>
      </c>
      <c r="C83" s="331" t="s">
        <v>53</v>
      </c>
      <c r="D83" s="330">
        <f>SUM(D72:D82)</f>
        <v>5866</v>
      </c>
      <c r="E83" s="330">
        <f>SUM(E72:E82)</f>
        <v>2774</v>
      </c>
      <c r="F83" s="330">
        <f>SUM(F72:F82)</f>
        <v>211</v>
      </c>
      <c r="G83" s="330">
        <f t="shared" ref="G83:L83" si="20">SUM(G72:G82)</f>
        <v>1325</v>
      </c>
      <c r="H83" s="330">
        <f t="shared" si="20"/>
        <v>651</v>
      </c>
      <c r="I83" s="330">
        <f t="shared" si="20"/>
        <v>1217</v>
      </c>
      <c r="J83" s="330">
        <f t="shared" si="20"/>
        <v>592</v>
      </c>
      <c r="K83" s="330">
        <f t="shared" si="20"/>
        <v>1179</v>
      </c>
      <c r="L83" s="330">
        <f t="shared" si="20"/>
        <v>579</v>
      </c>
      <c r="M83" s="391"/>
      <c r="N83" s="391"/>
      <c r="O83" s="330">
        <f t="shared" ref="O83:S83" si="21">O72+O73+O74+O75+O76+O77+O78+O79+O80+O81+O82</f>
        <v>3721</v>
      </c>
      <c r="P83" s="330">
        <f t="shared" si="21"/>
        <v>1822</v>
      </c>
      <c r="Q83" s="330">
        <f t="shared" si="21"/>
        <v>99</v>
      </c>
      <c r="R83" s="330">
        <f t="shared" si="21"/>
        <v>44</v>
      </c>
      <c r="S83" s="330">
        <f t="shared" si="21"/>
        <v>9587</v>
      </c>
      <c r="T83" s="330">
        <f>E83+P83</f>
        <v>4596</v>
      </c>
      <c r="U83" s="330">
        <f>Sek_1!AC73+Sek_2!Q83</f>
        <v>292</v>
      </c>
      <c r="V83" s="330">
        <f>Sek_1!AD73+Sek_2!R83</f>
        <v>134</v>
      </c>
    </row>
    <row r="84" spans="1:22" ht="15.6" x14ac:dyDescent="0.25">
      <c r="A84" s="336" t="s">
        <v>87</v>
      </c>
      <c r="B84" s="14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</row>
    <row r="85" spans="1:22" ht="15.6" x14ac:dyDescent="0.25">
      <c r="A85" s="336" t="s">
        <v>94</v>
      </c>
      <c r="B85" s="143"/>
      <c r="C85" s="33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</row>
    <row r="86" spans="1:22" ht="30.6" x14ac:dyDescent="0.3">
      <c r="A86" s="104">
        <v>1</v>
      </c>
      <c r="B86" s="104" t="s">
        <v>99</v>
      </c>
      <c r="C86" s="119" t="s">
        <v>11</v>
      </c>
      <c r="D86" s="120">
        <f>Sek_1!AA76</f>
        <v>729</v>
      </c>
      <c r="E86" s="104">
        <f>Sek_1!AB76</f>
        <v>388</v>
      </c>
      <c r="F86" s="104">
        <f>Sek_1!AE76</f>
        <v>25</v>
      </c>
      <c r="G86" s="120">
        <v>166</v>
      </c>
      <c r="H86" s="104">
        <v>88</v>
      </c>
      <c r="I86" s="120">
        <v>165</v>
      </c>
      <c r="J86" s="104">
        <v>91</v>
      </c>
      <c r="K86" s="120">
        <v>161</v>
      </c>
      <c r="L86" s="104">
        <v>94</v>
      </c>
      <c r="M86" s="391"/>
      <c r="N86" s="391"/>
      <c r="O86" s="120">
        <f>G86+I86+K86</f>
        <v>492</v>
      </c>
      <c r="P86" s="104">
        <f>H86+J86+L86+N86</f>
        <v>273</v>
      </c>
      <c r="Q86" s="120">
        <v>12</v>
      </c>
      <c r="R86" s="104">
        <v>6</v>
      </c>
      <c r="S86" s="330">
        <f>D86+O86</f>
        <v>1221</v>
      </c>
      <c r="T86" s="104">
        <f>E86+P86</f>
        <v>661</v>
      </c>
      <c r="U86" s="120">
        <f>Sek_1!AC76+Sek_2!Q86</f>
        <v>29</v>
      </c>
      <c r="V86" s="104">
        <f>Sek_1!AD76+Sek_2!R86</f>
        <v>16</v>
      </c>
    </row>
    <row r="87" spans="1:22" ht="42.6" x14ac:dyDescent="0.3">
      <c r="A87" s="104">
        <v>2</v>
      </c>
      <c r="B87" s="104" t="s">
        <v>99</v>
      </c>
      <c r="C87" s="119" t="s">
        <v>85</v>
      </c>
      <c r="D87" s="120">
        <f>Sek_1!AA77</f>
        <v>626</v>
      </c>
      <c r="E87" s="104">
        <f>Sek_1!AB77</f>
        <v>263</v>
      </c>
      <c r="F87" s="104">
        <f>Sek_1!AE77</f>
        <v>24</v>
      </c>
      <c r="G87" s="120">
        <v>142</v>
      </c>
      <c r="H87" s="104">
        <v>63</v>
      </c>
      <c r="I87" s="120">
        <v>114</v>
      </c>
      <c r="J87" s="104">
        <v>57</v>
      </c>
      <c r="K87" s="120">
        <v>110</v>
      </c>
      <c r="L87" s="104">
        <v>51</v>
      </c>
      <c r="M87" s="391"/>
      <c r="N87" s="391"/>
      <c r="O87" s="120">
        <f t="shared" ref="O87:O91" si="22">G87+I87+K87+M87</f>
        <v>366</v>
      </c>
      <c r="P87" s="104">
        <f t="shared" ref="P87:P91" si="23">H87+J87+L87+N87</f>
        <v>171</v>
      </c>
      <c r="Q87" s="120">
        <v>3</v>
      </c>
      <c r="R87" s="104">
        <v>0</v>
      </c>
      <c r="S87" s="330">
        <f>D87+O87</f>
        <v>992</v>
      </c>
      <c r="T87" s="104">
        <f>E87+P87</f>
        <v>434</v>
      </c>
      <c r="U87" s="120">
        <f>Sek_1!AC77+Sek_2!Q87</f>
        <v>25</v>
      </c>
      <c r="V87" s="104">
        <f>Sek_1!AD77+Sek_2!R87</f>
        <v>10</v>
      </c>
    </row>
    <row r="88" spans="1:22" ht="46.2" x14ac:dyDescent="0.3">
      <c r="A88" s="104">
        <v>3</v>
      </c>
      <c r="B88" s="104" t="s">
        <v>99</v>
      </c>
      <c r="C88" s="119" t="s">
        <v>110</v>
      </c>
      <c r="D88" s="120">
        <f>Sek_1!AA78</f>
        <v>386</v>
      </c>
      <c r="E88" s="104">
        <f>Sek_1!AB78</f>
        <v>193</v>
      </c>
      <c r="F88" s="104">
        <f>Sek_1!AE78</f>
        <v>15</v>
      </c>
      <c r="G88" s="120">
        <v>70</v>
      </c>
      <c r="H88" s="104">
        <v>33</v>
      </c>
      <c r="I88" s="120">
        <v>91</v>
      </c>
      <c r="J88" s="104">
        <v>39</v>
      </c>
      <c r="K88" s="120">
        <v>93</v>
      </c>
      <c r="L88" s="104">
        <v>44</v>
      </c>
      <c r="M88" s="391"/>
      <c r="N88" s="391"/>
      <c r="O88" s="120">
        <f t="shared" si="22"/>
        <v>254</v>
      </c>
      <c r="P88" s="104">
        <f t="shared" si="23"/>
        <v>116</v>
      </c>
      <c r="Q88" s="120">
        <v>23</v>
      </c>
      <c r="R88" s="104">
        <v>6</v>
      </c>
      <c r="S88" s="330">
        <f>D88+O88</f>
        <v>640</v>
      </c>
      <c r="T88" s="104">
        <f>E88+P88</f>
        <v>309</v>
      </c>
      <c r="U88" s="120">
        <f>Sek_1!AC78+Sek_2!Q88</f>
        <v>56</v>
      </c>
      <c r="V88" s="104">
        <f>Sek_1!AD78+Sek_2!R88</f>
        <v>23</v>
      </c>
    </row>
    <row r="89" spans="1:22" ht="15.6" x14ac:dyDescent="0.3">
      <c r="A89" s="104">
        <v>4</v>
      </c>
      <c r="B89" s="104" t="s">
        <v>99</v>
      </c>
      <c r="C89" s="124" t="s">
        <v>14</v>
      </c>
      <c r="D89" s="120">
        <f>Sek_1!AA79</f>
        <v>569</v>
      </c>
      <c r="E89" s="104">
        <f>Sek_1!AB79</f>
        <v>244</v>
      </c>
      <c r="F89" s="104">
        <f>Sek_1!AE79</f>
        <v>20</v>
      </c>
      <c r="G89" s="120">
        <v>144</v>
      </c>
      <c r="H89" s="104">
        <v>69</v>
      </c>
      <c r="I89" s="120">
        <v>130</v>
      </c>
      <c r="J89" s="104">
        <v>67</v>
      </c>
      <c r="K89" s="120">
        <v>109</v>
      </c>
      <c r="L89" s="104">
        <v>48</v>
      </c>
      <c r="M89" s="391"/>
      <c r="N89" s="391"/>
      <c r="O89" s="120">
        <f t="shared" si="22"/>
        <v>383</v>
      </c>
      <c r="P89" s="104">
        <f t="shared" si="23"/>
        <v>184</v>
      </c>
      <c r="Q89" s="120">
        <v>23</v>
      </c>
      <c r="R89" s="104">
        <v>11</v>
      </c>
      <c r="S89" s="330">
        <f>D89+O89</f>
        <v>952</v>
      </c>
      <c r="T89" s="104">
        <f>E89+P89</f>
        <v>428</v>
      </c>
      <c r="U89" s="120">
        <f>Sek_1!AC79+Sek_2!Q89</f>
        <v>81</v>
      </c>
      <c r="V89" s="104">
        <f>Sek_1!AD79+Sek_2!R89</f>
        <v>31</v>
      </c>
    </row>
    <row r="90" spans="1:22" ht="15.6" x14ac:dyDescent="0.3">
      <c r="A90" s="104">
        <v>5</v>
      </c>
      <c r="B90" s="104" t="s">
        <v>99</v>
      </c>
      <c r="C90" s="124" t="s">
        <v>15</v>
      </c>
      <c r="D90" s="120">
        <f>Sek_1!AA80</f>
        <v>619</v>
      </c>
      <c r="E90" s="104">
        <f>Sek_1!AB80</f>
        <v>336</v>
      </c>
      <c r="F90" s="104">
        <f>Sek_1!AE80</f>
        <v>23</v>
      </c>
      <c r="G90" s="120">
        <v>127</v>
      </c>
      <c r="H90" s="104">
        <v>75</v>
      </c>
      <c r="I90" s="120">
        <v>118</v>
      </c>
      <c r="J90" s="104">
        <v>60</v>
      </c>
      <c r="K90" s="120">
        <v>136</v>
      </c>
      <c r="L90" s="104">
        <v>75</v>
      </c>
      <c r="M90" s="391"/>
      <c r="N90" s="391"/>
      <c r="O90" s="120">
        <f t="shared" si="22"/>
        <v>381</v>
      </c>
      <c r="P90" s="104">
        <f t="shared" si="23"/>
        <v>210</v>
      </c>
      <c r="Q90" s="120">
        <v>4</v>
      </c>
      <c r="R90" s="104">
        <v>2</v>
      </c>
      <c r="S90" s="330">
        <f>D90+O90</f>
        <v>1000</v>
      </c>
      <c r="T90" s="104">
        <f>E90+P90</f>
        <v>546</v>
      </c>
      <c r="U90" s="120">
        <f>Sek_1!AC80+Sek_2!Q90</f>
        <v>21</v>
      </c>
      <c r="V90" s="104">
        <f>Sek_1!AD80+Sek_2!R90</f>
        <v>12</v>
      </c>
    </row>
    <row r="91" spans="1:22" ht="15.6" x14ac:dyDescent="0.3">
      <c r="A91" s="104">
        <v>6</v>
      </c>
      <c r="B91" s="104" t="s">
        <v>99</v>
      </c>
      <c r="C91" s="119" t="s">
        <v>16</v>
      </c>
      <c r="D91" s="120">
        <f>Sek_1!AA81</f>
        <v>456</v>
      </c>
      <c r="E91" s="104">
        <f>Sek_1!AB81</f>
        <v>219</v>
      </c>
      <c r="F91" s="104">
        <f>Sek_1!AE81</f>
        <v>17</v>
      </c>
      <c r="G91" s="120">
        <v>98</v>
      </c>
      <c r="H91" s="104">
        <v>45</v>
      </c>
      <c r="I91" s="120">
        <v>104</v>
      </c>
      <c r="J91" s="104">
        <v>50</v>
      </c>
      <c r="K91" s="120">
        <v>112</v>
      </c>
      <c r="L91" s="104">
        <v>62</v>
      </c>
      <c r="M91" s="391"/>
      <c r="N91" s="391"/>
      <c r="O91" s="120">
        <f t="shared" si="22"/>
        <v>314</v>
      </c>
      <c r="P91" s="104">
        <f t="shared" si="23"/>
        <v>157</v>
      </c>
      <c r="Q91" s="120">
        <v>8</v>
      </c>
      <c r="R91" s="104">
        <v>4</v>
      </c>
      <c r="S91" s="330">
        <f>D91+O91</f>
        <v>770</v>
      </c>
      <c r="T91" s="104">
        <f>E91+P91</f>
        <v>376</v>
      </c>
      <c r="U91" s="120">
        <f>Sek_1!AC81+Sek_2!Q91</f>
        <v>16</v>
      </c>
      <c r="V91" s="104">
        <f>Sek_1!AD81+Sek_2!R91</f>
        <v>10</v>
      </c>
    </row>
    <row r="92" spans="1:22" ht="30.6" x14ac:dyDescent="0.3">
      <c r="A92" s="104">
        <v>7</v>
      </c>
      <c r="B92" s="104" t="s">
        <v>99</v>
      </c>
      <c r="C92" s="119" t="s">
        <v>17</v>
      </c>
      <c r="D92" s="120">
        <f>Sek_1!AA82</f>
        <v>340</v>
      </c>
      <c r="E92" s="104">
        <f>Sek_1!AB82</f>
        <v>154</v>
      </c>
      <c r="F92" s="104">
        <f>Sek_1!AE82</f>
        <v>12</v>
      </c>
      <c r="G92" s="144">
        <v>61</v>
      </c>
      <c r="H92" s="143">
        <v>21</v>
      </c>
      <c r="I92" s="144">
        <v>88</v>
      </c>
      <c r="J92" s="143">
        <v>47</v>
      </c>
      <c r="K92" s="144">
        <v>62</v>
      </c>
      <c r="L92" s="143">
        <v>31</v>
      </c>
      <c r="M92" s="391"/>
      <c r="N92" s="391"/>
      <c r="O92" s="120">
        <f>G92+I92+K92+M92</f>
        <v>211</v>
      </c>
      <c r="P92" s="104">
        <f>H92+J92+L92+N92</f>
        <v>99</v>
      </c>
      <c r="Q92" s="144">
        <v>9</v>
      </c>
      <c r="R92" s="143">
        <v>7</v>
      </c>
      <c r="S92" s="330">
        <f>D92+O92</f>
        <v>551</v>
      </c>
      <c r="T92" s="104">
        <f>E92+P92</f>
        <v>253</v>
      </c>
      <c r="U92" s="120">
        <f>Sek_1!AC82+Sek_2!Q92</f>
        <v>20</v>
      </c>
      <c r="V92" s="104">
        <f>Sek_1!AD82+Sek_2!R92</f>
        <v>13</v>
      </c>
    </row>
    <row r="93" spans="1:22" ht="15.6" x14ac:dyDescent="0.3">
      <c r="A93" s="104">
        <v>8</v>
      </c>
      <c r="B93" s="104" t="s">
        <v>99</v>
      </c>
      <c r="C93" s="124" t="s">
        <v>18</v>
      </c>
      <c r="D93" s="120">
        <f>Sek_1!AA83</f>
        <v>506</v>
      </c>
      <c r="E93" s="104">
        <f>Sek_1!AB83</f>
        <v>247</v>
      </c>
      <c r="F93" s="104">
        <f>Sek_1!AE83</f>
        <v>20</v>
      </c>
      <c r="G93" s="120">
        <v>136</v>
      </c>
      <c r="H93" s="104">
        <v>71</v>
      </c>
      <c r="I93" s="120">
        <v>125</v>
      </c>
      <c r="J93" s="104">
        <v>73</v>
      </c>
      <c r="K93" s="120">
        <v>137</v>
      </c>
      <c r="L93" s="104">
        <v>78</v>
      </c>
      <c r="M93" s="391"/>
      <c r="N93" s="391"/>
      <c r="O93" s="120">
        <f>G93+I93+K93+M93</f>
        <v>398</v>
      </c>
      <c r="P93" s="104">
        <f>H93+J93+L93+N93</f>
        <v>222</v>
      </c>
      <c r="Q93" s="120">
        <v>15</v>
      </c>
      <c r="R93" s="104">
        <v>6</v>
      </c>
      <c r="S93" s="330">
        <f>D93+O93</f>
        <v>904</v>
      </c>
      <c r="T93" s="104">
        <f>E93+P93</f>
        <v>469</v>
      </c>
      <c r="U93" s="120">
        <f>Sek_1!AC83+Sek_2!Q93</f>
        <v>34</v>
      </c>
      <c r="V93" s="104">
        <f>Sek_1!AD83+Sek_2!R93</f>
        <v>17</v>
      </c>
    </row>
    <row r="94" spans="1:22" ht="28.8" x14ac:dyDescent="0.3">
      <c r="A94" s="104">
        <v>9</v>
      </c>
      <c r="B94" s="104" t="s">
        <v>99</v>
      </c>
      <c r="C94" s="119" t="s">
        <v>84</v>
      </c>
      <c r="D94" s="120">
        <f>Sek_1!AA84</f>
        <v>435</v>
      </c>
      <c r="E94" s="104">
        <f>Sek_1!AB84</f>
        <v>199</v>
      </c>
      <c r="F94" s="104">
        <f>Sek_1!AE84</f>
        <v>16</v>
      </c>
      <c r="G94" s="120">
        <v>117</v>
      </c>
      <c r="H94" s="104">
        <v>46</v>
      </c>
      <c r="I94" s="120">
        <v>81</v>
      </c>
      <c r="J94" s="104">
        <v>36</v>
      </c>
      <c r="K94" s="120">
        <v>60</v>
      </c>
      <c r="L94" s="104">
        <v>25</v>
      </c>
      <c r="M94" s="391"/>
      <c r="N94" s="391"/>
      <c r="O94" s="120">
        <f t="shared" ref="O94:O96" si="24">G94+I94+K94+M94</f>
        <v>258</v>
      </c>
      <c r="P94" s="104">
        <f t="shared" ref="P94:P96" si="25">H94+J94+L94+N94</f>
        <v>107</v>
      </c>
      <c r="Q94" s="120">
        <v>8</v>
      </c>
      <c r="R94" s="104">
        <v>2</v>
      </c>
      <c r="S94" s="330">
        <f>D94+O94</f>
        <v>693</v>
      </c>
      <c r="T94" s="104">
        <f>E94+P94</f>
        <v>306</v>
      </c>
      <c r="U94" s="120">
        <f>Sek_1!AC84+Sek_2!Q94</f>
        <v>19</v>
      </c>
      <c r="V94" s="104">
        <f>Sek_1!AD84+Sek_2!R94</f>
        <v>6</v>
      </c>
    </row>
    <row r="95" spans="1:22" ht="15.6" x14ac:dyDescent="0.3">
      <c r="A95" s="104">
        <v>10</v>
      </c>
      <c r="B95" s="104" t="s">
        <v>99</v>
      </c>
      <c r="C95" s="124" t="s">
        <v>20</v>
      </c>
      <c r="D95" s="120">
        <f>Sek_1!AA85</f>
        <v>497</v>
      </c>
      <c r="E95" s="104">
        <f>Sek_1!AB85</f>
        <v>246</v>
      </c>
      <c r="F95" s="104">
        <f>Sek_1!AE85</f>
        <v>19</v>
      </c>
      <c r="G95" s="120">
        <v>101</v>
      </c>
      <c r="H95" s="104">
        <v>33</v>
      </c>
      <c r="I95" s="120">
        <v>102</v>
      </c>
      <c r="J95" s="104">
        <v>55</v>
      </c>
      <c r="K95" s="120">
        <v>73</v>
      </c>
      <c r="L95" s="104">
        <v>27</v>
      </c>
      <c r="M95" s="391"/>
      <c r="N95" s="391"/>
      <c r="O95" s="120">
        <f t="shared" si="24"/>
        <v>276</v>
      </c>
      <c r="P95" s="104">
        <f t="shared" si="25"/>
        <v>115</v>
      </c>
      <c r="Q95" s="120">
        <v>4</v>
      </c>
      <c r="R95" s="104">
        <v>2</v>
      </c>
      <c r="S95" s="330">
        <f>D95+O95</f>
        <v>773</v>
      </c>
      <c r="T95" s="104">
        <f>E95+P95</f>
        <v>361</v>
      </c>
      <c r="U95" s="120">
        <f>Sek_1!AC85+Sek_2!Q95</f>
        <v>14</v>
      </c>
      <c r="V95" s="104">
        <f>Sek_1!AD85+Sek_2!R95</f>
        <v>5</v>
      </c>
    </row>
    <row r="96" spans="1:22" ht="15.6" x14ac:dyDescent="0.3">
      <c r="A96" s="104">
        <v>11</v>
      </c>
      <c r="B96" s="104" t="s">
        <v>99</v>
      </c>
      <c r="C96" s="119" t="s">
        <v>21</v>
      </c>
      <c r="D96" s="120">
        <f>Sek_1!AA86</f>
        <v>587</v>
      </c>
      <c r="E96" s="104">
        <f>Sek_1!AB86</f>
        <v>235</v>
      </c>
      <c r="F96" s="104">
        <f>Sek_1!AE86</f>
        <v>20</v>
      </c>
      <c r="G96" s="120">
        <v>128</v>
      </c>
      <c r="H96" s="104">
        <v>56</v>
      </c>
      <c r="I96" s="120">
        <v>137</v>
      </c>
      <c r="J96" s="104">
        <v>51</v>
      </c>
      <c r="K96" s="120">
        <v>103</v>
      </c>
      <c r="L96" s="104">
        <v>39</v>
      </c>
      <c r="M96" s="391"/>
      <c r="N96" s="391"/>
      <c r="O96" s="120">
        <f t="shared" si="24"/>
        <v>368</v>
      </c>
      <c r="P96" s="104">
        <f t="shared" si="25"/>
        <v>146</v>
      </c>
      <c r="Q96" s="120">
        <v>10</v>
      </c>
      <c r="R96" s="104">
        <v>4</v>
      </c>
      <c r="S96" s="330">
        <f>D96+O96</f>
        <v>955</v>
      </c>
      <c r="T96" s="104">
        <f>E96+P96</f>
        <v>381</v>
      </c>
      <c r="U96" s="120">
        <f>Sek_1!AC86+Sek_2!Q96</f>
        <v>40</v>
      </c>
      <c r="V96" s="104">
        <f>Sek_1!AD86+Sek_2!R96</f>
        <v>17</v>
      </c>
    </row>
    <row r="97" spans="1:24" s="133" customFormat="1" ht="31.2" x14ac:dyDescent="0.3">
      <c r="A97" s="120"/>
      <c r="B97" s="120" t="s">
        <v>99</v>
      </c>
      <c r="C97" s="331" t="s">
        <v>53</v>
      </c>
      <c r="D97" s="330">
        <f>SUM(D86:D96)</f>
        <v>5750</v>
      </c>
      <c r="E97" s="330">
        <f>SUM(E86:E96)</f>
        <v>2724</v>
      </c>
      <c r="F97" s="330">
        <f>SUM(F86:F96)</f>
        <v>211</v>
      </c>
      <c r="G97" s="330">
        <f t="shared" ref="G97:L97" si="26">SUM(G86:G96)</f>
        <v>1290</v>
      </c>
      <c r="H97" s="330">
        <f t="shared" si="26"/>
        <v>600</v>
      </c>
      <c r="I97" s="330">
        <f t="shared" si="26"/>
        <v>1255</v>
      </c>
      <c r="J97" s="330">
        <f t="shared" si="26"/>
        <v>626</v>
      </c>
      <c r="K97" s="330">
        <f t="shared" si="26"/>
        <v>1156</v>
      </c>
      <c r="L97" s="330">
        <f t="shared" si="26"/>
        <v>574</v>
      </c>
      <c r="M97" s="391"/>
      <c r="N97" s="391"/>
      <c r="O97" s="330">
        <f t="shared" ref="O97:S97" si="27">O86+O87+O88+O89+O90+O91+O92+O93+O94+O95+O96</f>
        <v>3701</v>
      </c>
      <c r="P97" s="330">
        <f t="shared" si="27"/>
        <v>1800</v>
      </c>
      <c r="Q97" s="330">
        <f t="shared" si="27"/>
        <v>119</v>
      </c>
      <c r="R97" s="330">
        <f t="shared" si="27"/>
        <v>50</v>
      </c>
      <c r="S97" s="330">
        <f t="shared" si="27"/>
        <v>9451</v>
      </c>
      <c r="T97" s="330">
        <f>E97+P97</f>
        <v>4524</v>
      </c>
      <c r="U97" s="330">
        <f>Sek_1!AC87+Sek_2!Q97</f>
        <v>355</v>
      </c>
      <c r="V97" s="330">
        <f>Sek_1!AD87+Sek_2!R97</f>
        <v>160</v>
      </c>
    </row>
    <row r="98" spans="1:24" ht="15.6" x14ac:dyDescent="0.25">
      <c r="A98" s="333"/>
      <c r="B98" s="333" t="s">
        <v>99</v>
      </c>
      <c r="C98" s="336" t="s">
        <v>113</v>
      </c>
      <c r="D98" s="143"/>
      <c r="E98" s="33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16"/>
      <c r="X98" s="116"/>
    </row>
    <row r="99" spans="1:24" ht="15.6" x14ac:dyDescent="0.25">
      <c r="A99" s="333"/>
      <c r="B99" s="333" t="s">
        <v>99</v>
      </c>
      <c r="C99" s="336" t="s">
        <v>112</v>
      </c>
      <c r="D99" s="143"/>
      <c r="E99" s="333"/>
      <c r="F99" s="333"/>
      <c r="G99" s="333"/>
      <c r="H99" s="333"/>
      <c r="I99" s="333"/>
      <c r="J99" s="333"/>
      <c r="K99" s="333"/>
      <c r="L99" s="333"/>
      <c r="M99" s="333"/>
      <c r="N99" s="333"/>
      <c r="O99" s="333"/>
      <c r="P99" s="333"/>
      <c r="Q99" s="333"/>
      <c r="R99" s="333"/>
      <c r="S99" s="333"/>
      <c r="T99" s="333"/>
      <c r="U99" s="333"/>
      <c r="V99" s="333"/>
    </row>
    <row r="100" spans="1:24" s="258" customFormat="1" ht="30" x14ac:dyDescent="0.25">
      <c r="A100" s="251">
        <v>1</v>
      </c>
      <c r="B100" s="251" t="s">
        <v>117</v>
      </c>
      <c r="C100" s="252" t="s">
        <v>11</v>
      </c>
      <c r="D100" s="253">
        <f>Sek_1!AA89</f>
        <v>723</v>
      </c>
      <c r="E100" s="251">
        <f>Sek_1!AB89</f>
        <v>389</v>
      </c>
      <c r="F100" s="251">
        <f>Sek_1!AE89</f>
        <v>25</v>
      </c>
      <c r="G100" s="253">
        <v>163</v>
      </c>
      <c r="H100" s="251">
        <v>87</v>
      </c>
      <c r="I100" s="253">
        <v>157</v>
      </c>
      <c r="J100" s="251">
        <v>84</v>
      </c>
      <c r="K100" s="253">
        <v>164</v>
      </c>
      <c r="L100" s="251">
        <v>93</v>
      </c>
      <c r="M100" s="390"/>
      <c r="N100" s="390"/>
      <c r="O100" s="253">
        <f>G100+I100+K100</f>
        <v>484</v>
      </c>
      <c r="P100" s="251">
        <f>H100+J100+L100+N100</f>
        <v>264</v>
      </c>
      <c r="Q100" s="253">
        <v>14</v>
      </c>
      <c r="R100" s="251">
        <v>7</v>
      </c>
      <c r="S100" s="274">
        <f>D100+O100</f>
        <v>1207</v>
      </c>
      <c r="T100" s="251">
        <f>E100+P100</f>
        <v>653</v>
      </c>
      <c r="U100" s="253">
        <f>Sek_1!AC89+Sek_2!Q100</f>
        <v>34</v>
      </c>
      <c r="V100" s="251">
        <f>Sek_1!AD89+Sek_2!R100</f>
        <v>19</v>
      </c>
    </row>
    <row r="101" spans="1:24" s="258" customFormat="1" ht="41.4" x14ac:dyDescent="0.25">
      <c r="A101" s="251">
        <v>2</v>
      </c>
      <c r="B101" s="251" t="s">
        <v>117</v>
      </c>
      <c r="C101" s="252" t="s">
        <v>85</v>
      </c>
      <c r="D101" s="253">
        <f>Sek_1!AA90</f>
        <v>595</v>
      </c>
      <c r="E101" s="251">
        <f>Sek_1!AB90</f>
        <v>247</v>
      </c>
      <c r="F101" s="251">
        <f>Sek_1!AE90</f>
        <v>23</v>
      </c>
      <c r="G101" s="253">
        <v>126</v>
      </c>
      <c r="H101" s="251">
        <v>63</v>
      </c>
      <c r="I101" s="253">
        <v>136</v>
      </c>
      <c r="J101" s="251">
        <v>63</v>
      </c>
      <c r="K101" s="253">
        <v>113</v>
      </c>
      <c r="L101" s="251">
        <v>58</v>
      </c>
      <c r="M101" s="390"/>
      <c r="N101" s="390"/>
      <c r="O101" s="253">
        <f t="shared" ref="O101:O105" si="28">G101+I101+K101+M101</f>
        <v>375</v>
      </c>
      <c r="P101" s="251">
        <f t="shared" ref="P101:P105" si="29">H101+J101+L101+N101</f>
        <v>184</v>
      </c>
      <c r="Q101" s="253">
        <v>6</v>
      </c>
      <c r="R101" s="251">
        <v>2</v>
      </c>
      <c r="S101" s="274">
        <f>D101+O101</f>
        <v>970</v>
      </c>
      <c r="T101" s="251">
        <f>E101+P101</f>
        <v>431</v>
      </c>
      <c r="U101" s="253">
        <f>Sek_1!AC90+Sek_2!Q101</f>
        <v>27</v>
      </c>
      <c r="V101" s="251">
        <f>Sek_1!AD90+Sek_2!R101</f>
        <v>12</v>
      </c>
    </row>
    <row r="102" spans="1:24" s="258" customFormat="1" ht="45.6" x14ac:dyDescent="0.25">
      <c r="A102" s="251">
        <v>3</v>
      </c>
      <c r="B102" s="251" t="s">
        <v>117</v>
      </c>
      <c r="C102" s="252" t="s">
        <v>110</v>
      </c>
      <c r="D102" s="253">
        <f>Sek_1!AA91</f>
        <v>484</v>
      </c>
      <c r="E102" s="251">
        <f>Sek_1!AB91</f>
        <v>244</v>
      </c>
      <c r="F102" s="251">
        <f>Sek_1!AE91</f>
        <v>19</v>
      </c>
      <c r="G102" s="390"/>
      <c r="H102" s="390"/>
      <c r="I102" s="253">
        <v>73</v>
      </c>
      <c r="J102" s="251">
        <v>29</v>
      </c>
      <c r="K102" s="253">
        <v>86</v>
      </c>
      <c r="L102" s="251">
        <v>39</v>
      </c>
      <c r="M102" s="390"/>
      <c r="N102" s="390"/>
      <c r="O102" s="253">
        <f t="shared" si="28"/>
        <v>159</v>
      </c>
      <c r="P102" s="251">
        <f t="shared" si="29"/>
        <v>68</v>
      </c>
      <c r="Q102" s="253">
        <v>15</v>
      </c>
      <c r="R102" s="251">
        <v>4</v>
      </c>
      <c r="S102" s="274">
        <f>D102+O102</f>
        <v>643</v>
      </c>
      <c r="T102" s="251">
        <f>E102+P102</f>
        <v>312</v>
      </c>
      <c r="U102" s="253">
        <f>Sek_1!AC91+Sek_2!Q102</f>
        <v>61</v>
      </c>
      <c r="V102" s="251">
        <f>Sek_1!AD91+Sek_2!R102</f>
        <v>28</v>
      </c>
    </row>
    <row r="103" spans="1:24" s="258" customFormat="1" ht="15.6" x14ac:dyDescent="0.25">
      <c r="A103" s="251">
        <v>4</v>
      </c>
      <c r="B103" s="251" t="s">
        <v>117</v>
      </c>
      <c r="C103" s="260" t="s">
        <v>14</v>
      </c>
      <c r="D103" s="253">
        <f>Sek_1!AA92</f>
        <v>573</v>
      </c>
      <c r="E103" s="251">
        <f>Sek_1!AB92</f>
        <v>250</v>
      </c>
      <c r="F103" s="251">
        <f>Sek_1!AE92</f>
        <v>20</v>
      </c>
      <c r="G103" s="253">
        <v>114</v>
      </c>
      <c r="H103" s="251">
        <v>45</v>
      </c>
      <c r="I103" s="253">
        <v>136</v>
      </c>
      <c r="J103" s="251">
        <v>67</v>
      </c>
      <c r="K103" s="253">
        <v>126</v>
      </c>
      <c r="L103" s="251">
        <v>66</v>
      </c>
      <c r="M103" s="390"/>
      <c r="N103" s="390"/>
      <c r="O103" s="253">
        <f t="shared" si="28"/>
        <v>376</v>
      </c>
      <c r="P103" s="251">
        <f t="shared" si="29"/>
        <v>178</v>
      </c>
      <c r="Q103" s="253">
        <f>8+14+2</f>
        <v>24</v>
      </c>
      <c r="R103" s="251">
        <f>3+7+1</f>
        <v>11</v>
      </c>
      <c r="S103" s="274">
        <f>D103+O103</f>
        <v>949</v>
      </c>
      <c r="T103" s="251">
        <f>E103+P103</f>
        <v>428</v>
      </c>
      <c r="U103" s="253">
        <f>Sek_1!AC92+Sek_2!Q103</f>
        <v>86</v>
      </c>
      <c r="V103" s="251">
        <f>Sek_1!AD92+Sek_2!R103</f>
        <v>38</v>
      </c>
    </row>
    <row r="104" spans="1:24" s="258" customFormat="1" ht="15.6" x14ac:dyDescent="0.25">
      <c r="A104" s="251">
        <v>5</v>
      </c>
      <c r="B104" s="251" t="s">
        <v>117</v>
      </c>
      <c r="C104" s="260" t="s">
        <v>15</v>
      </c>
      <c r="D104" s="253">
        <f>Sek_1!AA93</f>
        <v>625</v>
      </c>
      <c r="E104" s="251">
        <f>Sek_1!AB93</f>
        <v>324</v>
      </c>
      <c r="F104" s="251">
        <f>Sek_1!AE93</f>
        <v>23</v>
      </c>
      <c r="G104" s="253">
        <v>130</v>
      </c>
      <c r="H104" s="251">
        <v>78</v>
      </c>
      <c r="I104" s="253">
        <v>119</v>
      </c>
      <c r="J104" s="251">
        <v>67</v>
      </c>
      <c r="K104" s="253">
        <v>111</v>
      </c>
      <c r="L104" s="251">
        <v>58</v>
      </c>
      <c r="M104" s="390"/>
      <c r="N104" s="390"/>
      <c r="O104" s="253">
        <f t="shared" si="28"/>
        <v>360</v>
      </c>
      <c r="P104" s="251">
        <f t="shared" si="29"/>
        <v>203</v>
      </c>
      <c r="Q104" s="253">
        <v>6</v>
      </c>
      <c r="R104" s="251">
        <v>4</v>
      </c>
      <c r="S104" s="274">
        <f>D104+O104</f>
        <v>985</v>
      </c>
      <c r="T104" s="251">
        <f>E104+P104</f>
        <v>527</v>
      </c>
      <c r="U104" s="253">
        <f>Sek_1!AC93+Sek_2!Q104</f>
        <v>37</v>
      </c>
      <c r="V104" s="251">
        <f>Sek_1!AD93+Sek_2!R104</f>
        <v>18</v>
      </c>
    </row>
    <row r="105" spans="1:24" s="258" customFormat="1" ht="15.6" x14ac:dyDescent="0.25">
      <c r="A105" s="251">
        <v>6</v>
      </c>
      <c r="B105" s="251" t="s">
        <v>117</v>
      </c>
      <c r="C105" s="252" t="s">
        <v>16</v>
      </c>
      <c r="D105" s="253">
        <f>Sek_1!AA94</f>
        <v>415</v>
      </c>
      <c r="E105" s="251">
        <f>Sek_1!AB94</f>
        <v>200</v>
      </c>
      <c r="F105" s="251">
        <f>Sek_1!AE94</f>
        <v>16</v>
      </c>
      <c r="G105" s="253">
        <v>123</v>
      </c>
      <c r="H105" s="251">
        <v>58</v>
      </c>
      <c r="I105" s="253">
        <v>88</v>
      </c>
      <c r="J105" s="251">
        <v>42</v>
      </c>
      <c r="K105" s="253">
        <v>101</v>
      </c>
      <c r="L105" s="251">
        <v>48</v>
      </c>
      <c r="M105" s="390"/>
      <c r="N105" s="390"/>
      <c r="O105" s="253">
        <f t="shared" si="28"/>
        <v>312</v>
      </c>
      <c r="P105" s="251">
        <f t="shared" si="29"/>
        <v>148</v>
      </c>
      <c r="Q105" s="253">
        <v>11</v>
      </c>
      <c r="R105" s="251">
        <v>6</v>
      </c>
      <c r="S105" s="274">
        <f>D105+O105</f>
        <v>727</v>
      </c>
      <c r="T105" s="251">
        <f>E105+P105</f>
        <v>348</v>
      </c>
      <c r="U105" s="253">
        <f>Sek_1!AC94+Sek_2!Q105</f>
        <v>20</v>
      </c>
      <c r="V105" s="251">
        <f>Sek_1!AD94+Sek_2!R105</f>
        <v>13</v>
      </c>
    </row>
    <row r="106" spans="1:24" s="258" customFormat="1" ht="30" x14ac:dyDescent="0.25">
      <c r="A106" s="251">
        <v>7</v>
      </c>
      <c r="B106" s="251" t="s">
        <v>117</v>
      </c>
      <c r="C106" s="252" t="s">
        <v>17</v>
      </c>
      <c r="D106" s="253">
        <f>Sek_1!AA95</f>
        <v>339</v>
      </c>
      <c r="E106" s="251">
        <f>Sek_1!AB95</f>
        <v>155</v>
      </c>
      <c r="F106" s="251">
        <f>Sek_1!AE95</f>
        <v>12</v>
      </c>
      <c r="G106" s="355">
        <v>87</v>
      </c>
      <c r="H106" s="357">
        <v>43</v>
      </c>
      <c r="I106" s="355">
        <v>56</v>
      </c>
      <c r="J106" s="357">
        <v>20</v>
      </c>
      <c r="K106" s="355">
        <v>84</v>
      </c>
      <c r="L106" s="357">
        <v>44</v>
      </c>
      <c r="M106" s="390"/>
      <c r="N106" s="390"/>
      <c r="O106" s="253">
        <f>G106+I106+K106+M106</f>
        <v>227</v>
      </c>
      <c r="P106" s="251">
        <f>H106+J106+L106+N106</f>
        <v>107</v>
      </c>
      <c r="Q106" s="355">
        <v>10</v>
      </c>
      <c r="R106" s="357">
        <v>8</v>
      </c>
      <c r="S106" s="274">
        <f>D106+O106</f>
        <v>566</v>
      </c>
      <c r="T106" s="251">
        <f>E106+P106</f>
        <v>262</v>
      </c>
      <c r="U106" s="253">
        <f>Sek_1!AC95+Sek_2!Q106</f>
        <v>48</v>
      </c>
      <c r="V106" s="251">
        <f>Sek_1!AD95+Sek_2!R106</f>
        <v>21</v>
      </c>
    </row>
    <row r="107" spans="1:24" s="258" customFormat="1" ht="15.6" x14ac:dyDescent="0.25">
      <c r="A107" s="251">
        <v>8</v>
      </c>
      <c r="B107" s="251" t="s">
        <v>117</v>
      </c>
      <c r="C107" s="260" t="s">
        <v>18</v>
      </c>
      <c r="D107" s="253">
        <f>Sek_1!AA96</f>
        <v>489</v>
      </c>
      <c r="E107" s="251">
        <f>Sek_1!AB96</f>
        <v>227</v>
      </c>
      <c r="F107" s="251">
        <f>Sek_1!AE96</f>
        <v>19</v>
      </c>
      <c r="G107" s="253">
        <v>162</v>
      </c>
      <c r="H107" s="251">
        <v>90</v>
      </c>
      <c r="I107" s="253">
        <v>125</v>
      </c>
      <c r="J107" s="251">
        <v>65</v>
      </c>
      <c r="K107" s="253">
        <v>124</v>
      </c>
      <c r="L107" s="251">
        <v>71</v>
      </c>
      <c r="M107" s="390"/>
      <c r="N107" s="390"/>
      <c r="O107" s="253">
        <f>G107+I107+K107+M107</f>
        <v>411</v>
      </c>
      <c r="P107" s="251">
        <f>H107+J107+L107+N107</f>
        <v>226</v>
      </c>
      <c r="Q107" s="253">
        <f>7+5+3</f>
        <v>15</v>
      </c>
      <c r="R107" s="251">
        <f>3+1+2</f>
        <v>6</v>
      </c>
      <c r="S107" s="274">
        <f>D107+O107</f>
        <v>900</v>
      </c>
      <c r="T107" s="251">
        <f>E107+P107</f>
        <v>453</v>
      </c>
      <c r="U107" s="253">
        <f>Sek_1!AC96+Sek_2!Q107</f>
        <v>48</v>
      </c>
      <c r="V107" s="251">
        <f>Sek_1!AD96+Sek_2!R107</f>
        <v>21</v>
      </c>
    </row>
    <row r="108" spans="1:24" s="258" customFormat="1" ht="28.2" x14ac:dyDescent="0.25">
      <c r="A108" s="251">
        <v>9</v>
      </c>
      <c r="B108" s="251" t="s">
        <v>117</v>
      </c>
      <c r="C108" s="252" t="s">
        <v>84</v>
      </c>
      <c r="D108" s="253">
        <f>Sek_1!AA97</f>
        <v>442</v>
      </c>
      <c r="E108" s="251">
        <f>Sek_1!AB97</f>
        <v>210</v>
      </c>
      <c r="F108" s="251">
        <f>Sek_1!AE97</f>
        <v>16</v>
      </c>
      <c r="G108" s="253">
        <v>92</v>
      </c>
      <c r="H108" s="251">
        <v>37</v>
      </c>
      <c r="I108" s="253">
        <v>105</v>
      </c>
      <c r="J108" s="251">
        <v>40</v>
      </c>
      <c r="K108" s="253">
        <v>77</v>
      </c>
      <c r="L108" s="251">
        <v>35</v>
      </c>
      <c r="M108" s="390"/>
      <c r="N108" s="390"/>
      <c r="O108" s="253">
        <f t="shared" ref="O108:O110" si="30">G108+I108+K108+M108</f>
        <v>274</v>
      </c>
      <c r="P108" s="251">
        <f t="shared" ref="P108:P110" si="31">H108+J108+L108+N108</f>
        <v>112</v>
      </c>
      <c r="Q108" s="253">
        <v>10</v>
      </c>
      <c r="R108" s="251">
        <v>3</v>
      </c>
      <c r="S108" s="274">
        <f>D108+O108</f>
        <v>716</v>
      </c>
      <c r="T108" s="251">
        <f>E108+P108</f>
        <v>322</v>
      </c>
      <c r="U108" s="253">
        <f>Sek_1!AC97+Sek_2!Q108</f>
        <v>25</v>
      </c>
      <c r="V108" s="251">
        <f>Sek_1!AD97+Sek_2!R108</f>
        <v>8</v>
      </c>
    </row>
    <row r="109" spans="1:24" s="258" customFormat="1" ht="15.6" x14ac:dyDescent="0.25">
      <c r="A109" s="251">
        <v>10</v>
      </c>
      <c r="B109" s="251" t="s">
        <v>117</v>
      </c>
      <c r="C109" s="260" t="s">
        <v>20</v>
      </c>
      <c r="D109" s="253">
        <f>Sek_1!AA98</f>
        <v>518</v>
      </c>
      <c r="E109" s="251">
        <f>Sek_1!AB98</f>
        <v>258</v>
      </c>
      <c r="F109" s="251">
        <f>Sek_1!AE98</f>
        <v>19</v>
      </c>
      <c r="G109" s="253">
        <v>103</v>
      </c>
      <c r="H109" s="251">
        <v>42</v>
      </c>
      <c r="I109" s="253">
        <v>92</v>
      </c>
      <c r="J109" s="251">
        <v>30</v>
      </c>
      <c r="K109" s="253">
        <v>95</v>
      </c>
      <c r="L109" s="251">
        <v>52</v>
      </c>
      <c r="M109" s="390"/>
      <c r="N109" s="390"/>
      <c r="O109" s="253">
        <f t="shared" si="30"/>
        <v>290</v>
      </c>
      <c r="P109" s="251">
        <f t="shared" si="31"/>
        <v>124</v>
      </c>
      <c r="Q109" s="253">
        <v>6</v>
      </c>
      <c r="R109" s="251">
        <v>3</v>
      </c>
      <c r="S109" s="274">
        <f>D109+O109</f>
        <v>808</v>
      </c>
      <c r="T109" s="251">
        <f>E109+P109</f>
        <v>382</v>
      </c>
      <c r="U109" s="253">
        <f>Sek_1!AC98+Sek_2!Q109</f>
        <v>20</v>
      </c>
      <c r="V109" s="251">
        <f>Sek_1!AD98+Sek_2!R109</f>
        <v>7</v>
      </c>
    </row>
    <row r="110" spans="1:24" s="258" customFormat="1" ht="15.6" x14ac:dyDescent="0.25">
      <c r="A110" s="251">
        <v>11</v>
      </c>
      <c r="B110" s="251" t="s">
        <v>117</v>
      </c>
      <c r="C110" s="252" t="s">
        <v>21</v>
      </c>
      <c r="D110" s="253">
        <f>Sek_1!AA99</f>
        <v>577</v>
      </c>
      <c r="E110" s="251">
        <f>Sek_1!AB99</f>
        <v>239</v>
      </c>
      <c r="F110" s="251">
        <f>Sek_1!AE99</f>
        <v>20</v>
      </c>
      <c r="G110" s="253">
        <v>134</v>
      </c>
      <c r="H110" s="251">
        <v>56</v>
      </c>
      <c r="I110" s="253">
        <v>128</v>
      </c>
      <c r="J110" s="251">
        <v>57</v>
      </c>
      <c r="K110" s="253">
        <v>132</v>
      </c>
      <c r="L110" s="251">
        <v>49</v>
      </c>
      <c r="M110" s="390"/>
      <c r="N110" s="390"/>
      <c r="O110" s="253">
        <f t="shared" si="30"/>
        <v>394</v>
      </c>
      <c r="P110" s="251">
        <f t="shared" si="31"/>
        <v>162</v>
      </c>
      <c r="Q110" s="253">
        <f>12</f>
        <v>12</v>
      </c>
      <c r="R110" s="251">
        <v>4</v>
      </c>
      <c r="S110" s="274">
        <f>D110+O110</f>
        <v>971</v>
      </c>
      <c r="T110" s="251">
        <f>E110+P110</f>
        <v>401</v>
      </c>
      <c r="U110" s="253">
        <f>Sek_1!AC99+Sek_2!Q110</f>
        <v>51</v>
      </c>
      <c r="V110" s="251">
        <f>Sek_1!AD99+Sek_2!R110</f>
        <v>23</v>
      </c>
    </row>
    <row r="111" spans="1:24" s="267" customFormat="1" ht="31.2" x14ac:dyDescent="0.25">
      <c r="A111" s="253"/>
      <c r="B111" s="253" t="s">
        <v>117</v>
      </c>
      <c r="C111" s="319" t="s">
        <v>53</v>
      </c>
      <c r="D111" s="274">
        <f>Sek_1!AA100</f>
        <v>5780</v>
      </c>
      <c r="E111" s="274">
        <f>Sek_1!AB100</f>
        <v>2743</v>
      </c>
      <c r="F111" s="274">
        <f>SUM(F100:F110)</f>
        <v>212</v>
      </c>
      <c r="G111" s="274">
        <f t="shared" ref="G111:L111" si="32">SUM(G100:G110)</f>
        <v>1234</v>
      </c>
      <c r="H111" s="274">
        <f t="shared" si="32"/>
        <v>599</v>
      </c>
      <c r="I111" s="274">
        <f t="shared" si="32"/>
        <v>1215</v>
      </c>
      <c r="J111" s="274">
        <f t="shared" si="32"/>
        <v>564</v>
      </c>
      <c r="K111" s="274">
        <f t="shared" si="32"/>
        <v>1213</v>
      </c>
      <c r="L111" s="274">
        <f t="shared" si="32"/>
        <v>613</v>
      </c>
      <c r="M111" s="390"/>
      <c r="N111" s="390"/>
      <c r="O111" s="274">
        <f t="shared" ref="O111:S111" si="33">O100+O101+O102+O103+O104+O105+O106+O107+O108+O109+O110</f>
        <v>3662</v>
      </c>
      <c r="P111" s="274">
        <f t="shared" si="33"/>
        <v>1776</v>
      </c>
      <c r="Q111" s="274">
        <f t="shared" si="33"/>
        <v>129</v>
      </c>
      <c r="R111" s="274">
        <f t="shared" si="33"/>
        <v>58</v>
      </c>
      <c r="S111" s="274">
        <f t="shared" si="33"/>
        <v>9442</v>
      </c>
      <c r="T111" s="274">
        <f>E111+P111</f>
        <v>4519</v>
      </c>
      <c r="U111" s="274">
        <f>Sek_1!AC100+Sek_2!Q111</f>
        <v>457</v>
      </c>
      <c r="V111" s="274">
        <f>Sek_1!AD100+Sek_2!R111</f>
        <v>208</v>
      </c>
    </row>
    <row r="112" spans="1:24" s="258" customFormat="1" ht="15.6" x14ac:dyDescent="0.25">
      <c r="A112" s="337" t="s">
        <v>113</v>
      </c>
      <c r="B112" s="357"/>
      <c r="C112" s="338"/>
      <c r="D112" s="357"/>
      <c r="E112" s="357"/>
      <c r="F112" s="357"/>
      <c r="G112" s="357"/>
      <c r="H112" s="357"/>
      <c r="I112" s="357"/>
      <c r="J112" s="357"/>
      <c r="K112" s="357"/>
      <c r="L112" s="357"/>
      <c r="M112" s="357"/>
      <c r="N112" s="357"/>
      <c r="O112" s="357"/>
      <c r="P112" s="357"/>
      <c r="Q112" s="357"/>
      <c r="R112" s="357"/>
      <c r="S112" s="357"/>
      <c r="T112" s="357"/>
      <c r="U112" s="357"/>
      <c r="V112" s="357"/>
    </row>
    <row r="113" spans="1:22" s="258" customFormat="1" ht="15.6" x14ac:dyDescent="0.25">
      <c r="A113" s="337" t="s">
        <v>112</v>
      </c>
      <c r="B113" s="357"/>
      <c r="C113" s="338"/>
      <c r="D113" s="338"/>
      <c r="E113" s="338"/>
      <c r="F113" s="338"/>
      <c r="G113" s="338"/>
      <c r="H113" s="338"/>
      <c r="I113" s="338"/>
      <c r="J113" s="338"/>
      <c r="K113" s="338"/>
      <c r="L113" s="338"/>
      <c r="M113" s="338"/>
      <c r="N113" s="338"/>
      <c r="O113" s="338"/>
      <c r="P113" s="338"/>
      <c r="Q113" s="338"/>
      <c r="R113" s="338"/>
      <c r="S113" s="338"/>
      <c r="T113" s="338"/>
      <c r="U113" s="338"/>
      <c r="V113" s="338"/>
    </row>
    <row r="114" spans="1:22" s="258" customFormat="1" ht="30" x14ac:dyDescent="0.25">
      <c r="A114" s="251">
        <v>1</v>
      </c>
      <c r="B114" s="251" t="s">
        <v>119</v>
      </c>
      <c r="C114" s="252" t="s">
        <v>11</v>
      </c>
      <c r="D114" s="253">
        <f>Sek_1!AA102</f>
        <v>707</v>
      </c>
      <c r="E114" s="251">
        <f>Sek_1!AB102</f>
        <v>363</v>
      </c>
      <c r="F114" s="251">
        <f>Sek_1!AE102</f>
        <v>25</v>
      </c>
      <c r="G114" s="253">
        <v>164</v>
      </c>
      <c r="H114" s="251">
        <v>96</v>
      </c>
      <c r="I114" s="253">
        <v>166</v>
      </c>
      <c r="J114" s="251">
        <v>88</v>
      </c>
      <c r="K114" s="253">
        <v>154</v>
      </c>
      <c r="L114" s="251">
        <v>84</v>
      </c>
      <c r="M114" s="390"/>
      <c r="N114" s="390"/>
      <c r="O114" s="253">
        <f>G114+I114+K114</f>
        <v>484</v>
      </c>
      <c r="P114" s="251">
        <f>H114+J114+L114+N114</f>
        <v>268</v>
      </c>
      <c r="Q114" s="253">
        <f>2+5+2</f>
        <v>9</v>
      </c>
      <c r="R114" s="251">
        <f>2+2+1</f>
        <v>5</v>
      </c>
      <c r="S114" s="274">
        <f>D114+O114</f>
        <v>1191</v>
      </c>
      <c r="T114" s="251">
        <f>E114+P114</f>
        <v>631</v>
      </c>
      <c r="U114" s="253">
        <f>Sek_1!AC102+Sek_2!Q114</f>
        <v>26</v>
      </c>
      <c r="V114" s="251">
        <f>Sek_1!AD102+Sek_2!R114</f>
        <v>16</v>
      </c>
    </row>
    <row r="115" spans="1:22" s="258" customFormat="1" ht="41.4" x14ac:dyDescent="0.25">
      <c r="A115" s="251">
        <v>2</v>
      </c>
      <c r="B115" s="251" t="s">
        <v>119</v>
      </c>
      <c r="C115" s="252" t="s">
        <v>85</v>
      </c>
      <c r="D115" s="253">
        <f>Sek_1!AA103</f>
        <v>589</v>
      </c>
      <c r="E115" s="251">
        <f>Sek_1!AB103</f>
        <v>262</v>
      </c>
      <c r="F115" s="251">
        <f>Sek_1!AE103</f>
        <v>22</v>
      </c>
      <c r="G115" s="253">
        <v>115</v>
      </c>
      <c r="H115" s="251">
        <v>40</v>
      </c>
      <c r="I115" s="253">
        <v>124</v>
      </c>
      <c r="J115" s="251">
        <v>60</v>
      </c>
      <c r="K115" s="253">
        <v>132</v>
      </c>
      <c r="L115" s="251">
        <v>63</v>
      </c>
      <c r="M115" s="390"/>
      <c r="N115" s="390"/>
      <c r="O115" s="253">
        <f t="shared" ref="O115:O119" si="34">G115+I115+K115+M115</f>
        <v>371</v>
      </c>
      <c r="P115" s="251">
        <f t="shared" ref="P115:P119" si="35">H115+J115+L115+N115</f>
        <v>163</v>
      </c>
      <c r="Q115" s="253">
        <f>4+4+1</f>
        <v>9</v>
      </c>
      <c r="R115" s="251">
        <f>3+2</f>
        <v>5</v>
      </c>
      <c r="S115" s="274">
        <f>D115+O115</f>
        <v>960</v>
      </c>
      <c r="T115" s="251">
        <f>E115+P115</f>
        <v>425</v>
      </c>
      <c r="U115" s="253">
        <f>Sek_1!AC103+Sek_2!Q115</f>
        <v>29</v>
      </c>
      <c r="V115" s="251">
        <f>Sek_1!AD103+Sek_2!R115</f>
        <v>14</v>
      </c>
    </row>
    <row r="116" spans="1:22" s="258" customFormat="1" ht="45.6" x14ac:dyDescent="0.25">
      <c r="A116" s="251">
        <v>3</v>
      </c>
      <c r="B116" s="251" t="s">
        <v>119</v>
      </c>
      <c r="C116" s="252" t="s">
        <v>110</v>
      </c>
      <c r="D116" s="253">
        <f>Sek_1!AA104</f>
        <v>493</v>
      </c>
      <c r="E116" s="251">
        <f>Sek_1!AB104</f>
        <v>239</v>
      </c>
      <c r="F116" s="251">
        <f>Sek_1!AE104</f>
        <v>19</v>
      </c>
      <c r="G116" s="253">
        <v>88</v>
      </c>
      <c r="H116" s="251">
        <v>50</v>
      </c>
      <c r="I116" s="339">
        <v>0</v>
      </c>
      <c r="J116" s="289">
        <v>0</v>
      </c>
      <c r="K116" s="253">
        <v>67</v>
      </c>
      <c r="L116" s="251">
        <v>29</v>
      </c>
      <c r="M116" s="390"/>
      <c r="N116" s="390"/>
      <c r="O116" s="253">
        <f t="shared" si="34"/>
        <v>155</v>
      </c>
      <c r="P116" s="251">
        <f t="shared" si="35"/>
        <v>79</v>
      </c>
      <c r="Q116" s="253">
        <v>16</v>
      </c>
      <c r="R116" s="251">
        <v>6</v>
      </c>
      <c r="S116" s="274">
        <f>D116+O116</f>
        <v>648</v>
      </c>
      <c r="T116" s="251">
        <f>E116+P116</f>
        <v>318</v>
      </c>
      <c r="U116" s="253">
        <f>Sek_1!AC104+Sek_2!Q116</f>
        <v>62</v>
      </c>
      <c r="V116" s="251">
        <f>Sek_1!AD104+Sek_2!R116</f>
        <v>32</v>
      </c>
    </row>
    <row r="117" spans="1:22" s="258" customFormat="1" ht="15.6" x14ac:dyDescent="0.25">
      <c r="A117" s="251">
        <v>4</v>
      </c>
      <c r="B117" s="251" t="s">
        <v>119</v>
      </c>
      <c r="C117" s="260" t="s">
        <v>14</v>
      </c>
      <c r="D117" s="253">
        <f>Sek_1!AA105</f>
        <v>548</v>
      </c>
      <c r="E117" s="251">
        <f>Sek_1!AB105</f>
        <v>245</v>
      </c>
      <c r="F117" s="251">
        <f>Sek_1!AE105</f>
        <v>20</v>
      </c>
      <c r="G117" s="253">
        <v>119</v>
      </c>
      <c r="H117" s="251">
        <v>50</v>
      </c>
      <c r="I117" s="253">
        <v>107</v>
      </c>
      <c r="J117" s="251">
        <v>44</v>
      </c>
      <c r="K117" s="253">
        <v>131</v>
      </c>
      <c r="L117" s="251">
        <v>64</v>
      </c>
      <c r="M117" s="390"/>
      <c r="N117" s="390"/>
      <c r="O117" s="253">
        <f t="shared" si="34"/>
        <v>357</v>
      </c>
      <c r="P117" s="251">
        <f t="shared" si="35"/>
        <v>158</v>
      </c>
      <c r="Q117" s="253">
        <v>25</v>
      </c>
      <c r="R117" s="251">
        <v>9</v>
      </c>
      <c r="S117" s="274">
        <f>D117+O117</f>
        <v>905</v>
      </c>
      <c r="T117" s="251">
        <f>E117+P117</f>
        <v>403</v>
      </c>
      <c r="U117" s="253">
        <f>Sek_1!AC105+Sek_2!Q117</f>
        <v>81</v>
      </c>
      <c r="V117" s="251">
        <f>Sek_1!AD105+Sek_2!R117</f>
        <v>39</v>
      </c>
    </row>
    <row r="118" spans="1:22" s="258" customFormat="1" ht="15.6" x14ac:dyDescent="0.25">
      <c r="A118" s="251">
        <v>5</v>
      </c>
      <c r="B118" s="251" t="s">
        <v>119</v>
      </c>
      <c r="C118" s="260" t="s">
        <v>15</v>
      </c>
      <c r="D118" s="253">
        <f>Sek_1!AA106</f>
        <v>585</v>
      </c>
      <c r="E118" s="251">
        <f>Sek_1!AB106</f>
        <v>297</v>
      </c>
      <c r="F118" s="251">
        <f>Sek_1!AE106</f>
        <v>22</v>
      </c>
      <c r="G118" s="253">
        <v>141</v>
      </c>
      <c r="H118" s="251">
        <v>68</v>
      </c>
      <c r="I118" s="253">
        <v>116</v>
      </c>
      <c r="J118" s="251">
        <v>66</v>
      </c>
      <c r="K118" s="253">
        <v>118</v>
      </c>
      <c r="L118" s="251">
        <v>66</v>
      </c>
      <c r="M118" s="390"/>
      <c r="N118" s="390"/>
      <c r="O118" s="253">
        <f t="shared" si="34"/>
        <v>375</v>
      </c>
      <c r="P118" s="251">
        <f t="shared" si="35"/>
        <v>200</v>
      </c>
      <c r="Q118" s="253">
        <v>9</v>
      </c>
      <c r="R118" s="251">
        <v>7</v>
      </c>
      <c r="S118" s="274">
        <f>D118+O118</f>
        <v>960</v>
      </c>
      <c r="T118" s="251">
        <f>E118+P118</f>
        <v>497</v>
      </c>
      <c r="U118" s="253">
        <f>Sek_1!AC106+Sek_2!Q118</f>
        <v>42</v>
      </c>
      <c r="V118" s="251">
        <f>Sek_1!AD106+Sek_2!R118</f>
        <v>22</v>
      </c>
    </row>
    <row r="119" spans="1:22" s="258" customFormat="1" ht="15.6" x14ac:dyDescent="0.25">
      <c r="A119" s="251">
        <v>6</v>
      </c>
      <c r="B119" s="251" t="s">
        <v>119</v>
      </c>
      <c r="C119" s="252" t="s">
        <v>16</v>
      </c>
      <c r="D119" s="253">
        <f>Sek_1!AA107</f>
        <v>416</v>
      </c>
      <c r="E119" s="251">
        <f>Sek_1!AB107</f>
        <v>205</v>
      </c>
      <c r="F119" s="251">
        <f>Sek_1!AE107</f>
        <v>15</v>
      </c>
      <c r="G119" s="253">
        <v>102</v>
      </c>
      <c r="H119" s="251">
        <v>51</v>
      </c>
      <c r="I119" s="253">
        <v>115</v>
      </c>
      <c r="J119" s="251">
        <v>57</v>
      </c>
      <c r="K119" s="253">
        <v>80</v>
      </c>
      <c r="L119" s="251">
        <v>35</v>
      </c>
      <c r="M119" s="390"/>
      <c r="N119" s="390"/>
      <c r="O119" s="253">
        <f t="shared" si="34"/>
        <v>297</v>
      </c>
      <c r="P119" s="251">
        <f t="shared" si="35"/>
        <v>143</v>
      </c>
      <c r="Q119" s="253">
        <v>8</v>
      </c>
      <c r="R119" s="251">
        <v>5</v>
      </c>
      <c r="S119" s="274">
        <f>D119+O119</f>
        <v>713</v>
      </c>
      <c r="T119" s="251">
        <f>E119+P119</f>
        <v>348</v>
      </c>
      <c r="U119" s="253">
        <f>Sek_1!AC107+Sek_2!Q119</f>
        <v>17</v>
      </c>
      <c r="V119" s="251">
        <f>Sek_1!AD107+Sek_2!R119</f>
        <v>13</v>
      </c>
    </row>
    <row r="120" spans="1:22" s="258" customFormat="1" ht="30" x14ac:dyDescent="0.25">
      <c r="A120" s="251">
        <v>7</v>
      </c>
      <c r="B120" s="251" t="s">
        <v>119</v>
      </c>
      <c r="C120" s="252" t="s">
        <v>17</v>
      </c>
      <c r="D120" s="253" t="e">
        <f>Sek_1!AA108</f>
        <v>#REF!</v>
      </c>
      <c r="E120" s="251" t="e">
        <f>Sek_1!AB108</f>
        <v>#REF!</v>
      </c>
      <c r="F120" s="251" t="e">
        <f>Sek_1!AE108</f>
        <v>#REF!</v>
      </c>
      <c r="G120" s="355">
        <v>65</v>
      </c>
      <c r="H120" s="357">
        <v>40</v>
      </c>
      <c r="I120" s="355">
        <v>80</v>
      </c>
      <c r="J120" s="357">
        <v>39</v>
      </c>
      <c r="K120" s="355">
        <v>50</v>
      </c>
      <c r="L120" s="357">
        <v>18</v>
      </c>
      <c r="M120" s="390"/>
      <c r="N120" s="390"/>
      <c r="O120" s="253">
        <f>G120+I120+K120+M120</f>
        <v>195</v>
      </c>
      <c r="P120" s="251">
        <f>H120+J120+L120+N120</f>
        <v>97</v>
      </c>
      <c r="Q120" s="355">
        <v>7</v>
      </c>
      <c r="R120" s="357">
        <v>6</v>
      </c>
      <c r="S120" s="274" t="e">
        <f>D120+O120</f>
        <v>#REF!</v>
      </c>
      <c r="T120" s="251" t="e">
        <f>E120+P120</f>
        <v>#REF!</v>
      </c>
      <c r="U120" s="253">
        <f>Sek_1!AC108+Sek_2!Q120</f>
        <v>42</v>
      </c>
      <c r="V120" s="251">
        <f>Sek_1!AD108+Sek_2!R120</f>
        <v>22</v>
      </c>
    </row>
    <row r="121" spans="1:22" s="258" customFormat="1" ht="15.6" x14ac:dyDescent="0.25">
      <c r="A121" s="251">
        <v>8</v>
      </c>
      <c r="B121" s="251" t="s">
        <v>119</v>
      </c>
      <c r="C121" s="260" t="s">
        <v>18</v>
      </c>
      <c r="D121" s="253">
        <f>Sek_1!AA109</f>
        <v>490</v>
      </c>
      <c r="E121" s="251">
        <f>Sek_1!AB109</f>
        <v>235</v>
      </c>
      <c r="F121" s="251">
        <f>Sek_1!AE109</f>
        <v>20</v>
      </c>
      <c r="G121" s="253">
        <v>109</v>
      </c>
      <c r="H121" s="251">
        <v>53</v>
      </c>
      <c r="I121" s="253">
        <v>159</v>
      </c>
      <c r="J121" s="251">
        <v>87</v>
      </c>
      <c r="K121" s="253">
        <v>121</v>
      </c>
      <c r="L121" s="251">
        <v>62</v>
      </c>
      <c r="M121" s="390"/>
      <c r="N121" s="390"/>
      <c r="O121" s="253">
        <f>G121+I121+K121+M121</f>
        <v>389</v>
      </c>
      <c r="P121" s="251">
        <f>H121+J121+L121+N121</f>
        <v>202</v>
      </c>
      <c r="Q121" s="253">
        <v>19</v>
      </c>
      <c r="R121" s="251">
        <v>9</v>
      </c>
      <c r="S121" s="274">
        <f>D121+O121</f>
        <v>879</v>
      </c>
      <c r="T121" s="251">
        <f>E121+P121</f>
        <v>437</v>
      </c>
      <c r="U121" s="253">
        <f>Sek_1!AC109+Sek_2!Q121</f>
        <v>54</v>
      </c>
      <c r="V121" s="251">
        <f>Sek_1!AD109+Sek_2!R121</f>
        <v>26</v>
      </c>
    </row>
    <row r="122" spans="1:22" s="258" customFormat="1" ht="28.2" x14ac:dyDescent="0.25">
      <c r="A122" s="251">
        <v>9</v>
      </c>
      <c r="B122" s="251" t="s">
        <v>119</v>
      </c>
      <c r="C122" s="252" t="s">
        <v>84</v>
      </c>
      <c r="D122" s="253">
        <f>Sek_1!AA110</f>
        <v>390</v>
      </c>
      <c r="E122" s="251">
        <f>Sek_1!AB110</f>
        <v>195</v>
      </c>
      <c r="F122" s="251">
        <f>Sek_1!AE110</f>
        <v>14</v>
      </c>
      <c r="G122" s="253">
        <v>114</v>
      </c>
      <c r="H122" s="251">
        <v>53</v>
      </c>
      <c r="I122" s="253">
        <v>91</v>
      </c>
      <c r="J122" s="251">
        <v>35</v>
      </c>
      <c r="K122" s="253">
        <v>93</v>
      </c>
      <c r="L122" s="251">
        <v>35</v>
      </c>
      <c r="M122" s="390"/>
      <c r="N122" s="390"/>
      <c r="O122" s="253">
        <f t="shared" ref="O122:O124" si="36">G122+I122+K122+M122</f>
        <v>298</v>
      </c>
      <c r="P122" s="251">
        <f t="shared" ref="P122:P124" si="37">H122+J122+L122+N122</f>
        <v>123</v>
      </c>
      <c r="Q122" s="253">
        <v>10</v>
      </c>
      <c r="R122" s="251">
        <v>2</v>
      </c>
      <c r="S122" s="274">
        <f>D122+O122</f>
        <v>688</v>
      </c>
      <c r="T122" s="251">
        <f>E122+P122</f>
        <v>318</v>
      </c>
      <c r="U122" s="253">
        <f>Sek_1!AC110+Sek_2!Q122</f>
        <v>27</v>
      </c>
      <c r="V122" s="251">
        <f>Sek_1!AD110+Sek_2!R122</f>
        <v>7</v>
      </c>
    </row>
    <row r="123" spans="1:22" s="258" customFormat="1" ht="15.6" x14ac:dyDescent="0.25">
      <c r="A123" s="251">
        <v>10</v>
      </c>
      <c r="B123" s="251" t="s">
        <v>119</v>
      </c>
      <c r="C123" s="260" t="s">
        <v>20</v>
      </c>
      <c r="D123" s="253">
        <f>Sek_1!AA111</f>
        <v>507</v>
      </c>
      <c r="E123" s="251">
        <f>Sek_1!AB111</f>
        <v>246</v>
      </c>
      <c r="F123" s="251">
        <f>Sek_1!AE111</f>
        <v>19</v>
      </c>
      <c r="G123" s="253">
        <v>106</v>
      </c>
      <c r="H123" s="251">
        <v>57</v>
      </c>
      <c r="I123" s="253">
        <v>97</v>
      </c>
      <c r="J123" s="251">
        <v>38</v>
      </c>
      <c r="K123" s="253">
        <v>86</v>
      </c>
      <c r="L123" s="251">
        <v>28</v>
      </c>
      <c r="M123" s="390"/>
      <c r="N123" s="390"/>
      <c r="O123" s="253">
        <f t="shared" si="36"/>
        <v>289</v>
      </c>
      <c r="P123" s="251">
        <f t="shared" si="37"/>
        <v>123</v>
      </c>
      <c r="Q123" s="253">
        <v>5</v>
      </c>
      <c r="R123" s="251">
        <v>1</v>
      </c>
      <c r="S123" s="274">
        <f>D123+O123</f>
        <v>796</v>
      </c>
      <c r="T123" s="251">
        <f>E123+P123</f>
        <v>369</v>
      </c>
      <c r="U123" s="253">
        <f>Sek_1!AC111+Sek_2!Q123</f>
        <v>18</v>
      </c>
      <c r="V123" s="251">
        <f>Sek_1!AD111+Sek_2!R123</f>
        <v>6</v>
      </c>
    </row>
    <row r="124" spans="1:22" s="258" customFormat="1" ht="15.6" x14ac:dyDescent="0.25">
      <c r="A124" s="251">
        <v>11</v>
      </c>
      <c r="B124" s="251" t="s">
        <v>119</v>
      </c>
      <c r="C124" s="252" t="s">
        <v>21</v>
      </c>
      <c r="D124" s="253">
        <f>Sek_1!AA112</f>
        <v>562</v>
      </c>
      <c r="E124" s="251">
        <f>Sek_1!AB112</f>
        <v>236</v>
      </c>
      <c r="F124" s="251">
        <f>Sek_1!AE112</f>
        <v>20</v>
      </c>
      <c r="G124" s="253">
        <v>119</v>
      </c>
      <c r="H124" s="251">
        <v>47</v>
      </c>
      <c r="I124" s="253">
        <v>132</v>
      </c>
      <c r="J124" s="251">
        <v>59</v>
      </c>
      <c r="K124" s="253">
        <v>120</v>
      </c>
      <c r="L124" s="251">
        <v>54</v>
      </c>
      <c r="M124" s="390"/>
      <c r="N124" s="390"/>
      <c r="O124" s="253">
        <f t="shared" si="36"/>
        <v>371</v>
      </c>
      <c r="P124" s="251">
        <f t="shared" si="37"/>
        <v>160</v>
      </c>
      <c r="Q124" s="253">
        <v>15</v>
      </c>
      <c r="R124" s="251">
        <v>10</v>
      </c>
      <c r="S124" s="274">
        <f>D124+O124</f>
        <v>933</v>
      </c>
      <c r="T124" s="251">
        <f>E124+P124</f>
        <v>396</v>
      </c>
      <c r="U124" s="253">
        <f>Sek_1!AC112+Sek_2!Q124</f>
        <v>58</v>
      </c>
      <c r="V124" s="251">
        <f>Sek_1!AD112+Sek_2!R124</f>
        <v>27</v>
      </c>
    </row>
    <row r="125" spans="1:22" s="267" customFormat="1" ht="31.2" x14ac:dyDescent="0.25">
      <c r="A125" s="253"/>
      <c r="B125" s="253" t="s">
        <v>119</v>
      </c>
      <c r="C125" s="319" t="s">
        <v>53</v>
      </c>
      <c r="D125" s="274" t="e">
        <f t="shared" ref="D125:E125" si="38">SUM(D114:D124)</f>
        <v>#REF!</v>
      </c>
      <c r="E125" s="274" t="e">
        <f t="shared" si="38"/>
        <v>#REF!</v>
      </c>
      <c r="F125" s="274" t="e">
        <f>SUM(F114:F124)</f>
        <v>#REF!</v>
      </c>
      <c r="G125" s="274">
        <f t="shared" ref="G125:L125" si="39">SUM(G114:G124)</f>
        <v>1242</v>
      </c>
      <c r="H125" s="274">
        <f t="shared" si="39"/>
        <v>605</v>
      </c>
      <c r="I125" s="274">
        <f t="shared" si="39"/>
        <v>1187</v>
      </c>
      <c r="J125" s="274">
        <f t="shared" si="39"/>
        <v>573</v>
      </c>
      <c r="K125" s="274">
        <f t="shared" si="39"/>
        <v>1152</v>
      </c>
      <c r="L125" s="274">
        <f t="shared" si="39"/>
        <v>538</v>
      </c>
      <c r="M125" s="390"/>
      <c r="N125" s="390"/>
      <c r="O125" s="274">
        <f t="shared" ref="O125:V125" si="40">O114+O115+O116+O117+O118+O119+O120+O121+O122+O123+O124</f>
        <v>3581</v>
      </c>
      <c r="P125" s="274">
        <f t="shared" si="40"/>
        <v>1716</v>
      </c>
      <c r="Q125" s="274">
        <f t="shared" si="40"/>
        <v>132</v>
      </c>
      <c r="R125" s="274">
        <f t="shared" si="40"/>
        <v>65</v>
      </c>
      <c r="S125" s="274" t="e">
        <f t="shared" si="40"/>
        <v>#REF!</v>
      </c>
      <c r="T125" s="274" t="e">
        <f t="shared" si="40"/>
        <v>#REF!</v>
      </c>
      <c r="U125" s="274">
        <f t="shared" si="40"/>
        <v>456</v>
      </c>
      <c r="V125" s="274">
        <f t="shared" si="40"/>
        <v>224</v>
      </c>
    </row>
    <row r="126" spans="1:22" s="258" customFormat="1" ht="15.6" x14ac:dyDescent="0.25">
      <c r="A126" s="337" t="s">
        <v>113</v>
      </c>
      <c r="B126" s="357"/>
      <c r="C126" s="338"/>
      <c r="D126" s="357"/>
      <c r="E126" s="357"/>
      <c r="F126" s="357"/>
      <c r="G126" s="357"/>
      <c r="H126" s="357"/>
      <c r="I126" s="357"/>
      <c r="J126" s="357"/>
      <c r="K126" s="357"/>
      <c r="L126" s="357"/>
      <c r="M126" s="357"/>
      <c r="N126" s="357"/>
      <c r="O126" s="357"/>
      <c r="P126" s="357"/>
      <c r="Q126" s="357"/>
      <c r="R126" s="357"/>
      <c r="S126" s="357"/>
      <c r="T126" s="357"/>
      <c r="U126" s="357"/>
      <c r="V126" s="357"/>
    </row>
    <row r="127" spans="1:22" s="258" customFormat="1" ht="15.6" x14ac:dyDescent="0.25">
      <c r="A127" s="337" t="s">
        <v>112</v>
      </c>
      <c r="B127" s="357"/>
      <c r="C127" s="338"/>
      <c r="D127" s="338"/>
      <c r="E127" s="338"/>
      <c r="F127" s="338"/>
      <c r="G127" s="338"/>
      <c r="H127" s="338"/>
      <c r="I127" s="338"/>
      <c r="J127" s="338"/>
      <c r="K127" s="338"/>
      <c r="L127" s="338"/>
      <c r="M127" s="338"/>
      <c r="N127" s="338"/>
      <c r="O127" s="338"/>
      <c r="P127" s="338"/>
      <c r="Q127" s="338"/>
      <c r="R127" s="338"/>
      <c r="S127" s="338"/>
      <c r="T127" s="338"/>
      <c r="U127" s="338"/>
      <c r="V127" s="338"/>
    </row>
    <row r="128" spans="1:22" s="258" customFormat="1" ht="30" x14ac:dyDescent="0.25">
      <c r="A128" s="251">
        <v>1</v>
      </c>
      <c r="B128" s="251" t="s">
        <v>122</v>
      </c>
      <c r="C128" s="252" t="s">
        <v>11</v>
      </c>
      <c r="D128" s="253">
        <f>Sek_1!AA115</f>
        <v>706</v>
      </c>
      <c r="E128" s="251">
        <f>Sek_1!AB115</f>
        <v>347</v>
      </c>
      <c r="F128" s="251">
        <f>Sek_1!AE115</f>
        <v>25</v>
      </c>
      <c r="G128" s="253">
        <v>156</v>
      </c>
      <c r="H128" s="251">
        <v>95</v>
      </c>
      <c r="I128" s="253">
        <v>160</v>
      </c>
      <c r="J128" s="251">
        <v>94</v>
      </c>
      <c r="K128" s="253">
        <v>156</v>
      </c>
      <c r="L128" s="251">
        <v>84</v>
      </c>
      <c r="M128" s="390"/>
      <c r="N128" s="390"/>
      <c r="O128" s="253">
        <f>G128+I128+K128</f>
        <v>472</v>
      </c>
      <c r="P128" s="251">
        <f>H128+J128+L128+N128</f>
        <v>273</v>
      </c>
      <c r="Q128" s="253">
        <f>5+1+5</f>
        <v>11</v>
      </c>
      <c r="R128" s="251">
        <f>5+1+2</f>
        <v>8</v>
      </c>
      <c r="S128" s="274">
        <f>D128+O128</f>
        <v>1178</v>
      </c>
      <c r="T128" s="251">
        <f>E128+P128</f>
        <v>620</v>
      </c>
      <c r="U128" s="253">
        <f>Sek_1!AC115+Sek_2!Q128</f>
        <v>30</v>
      </c>
      <c r="V128" s="251">
        <f>Sek_1!AD115+Sek_2!R128</f>
        <v>16</v>
      </c>
    </row>
    <row r="129" spans="1:22" s="258" customFormat="1" ht="41.4" x14ac:dyDescent="0.25">
      <c r="A129" s="251">
        <v>2</v>
      </c>
      <c r="B129" s="251" t="s">
        <v>122</v>
      </c>
      <c r="C129" s="252" t="s">
        <v>85</v>
      </c>
      <c r="D129" s="253">
        <f>Sek_1!AA116</f>
        <v>597</v>
      </c>
      <c r="E129" s="251">
        <f>Sek_1!AB116</f>
        <v>260</v>
      </c>
      <c r="F129" s="251">
        <f>Sek_1!AE116</f>
        <v>23</v>
      </c>
      <c r="G129" s="253">
        <v>104</v>
      </c>
      <c r="H129" s="251">
        <v>53</v>
      </c>
      <c r="I129" s="253">
        <v>109</v>
      </c>
      <c r="J129" s="251">
        <v>36</v>
      </c>
      <c r="K129" s="253">
        <v>122</v>
      </c>
      <c r="L129" s="251">
        <v>60</v>
      </c>
      <c r="M129" s="390"/>
      <c r="N129" s="390"/>
      <c r="O129" s="253">
        <f t="shared" ref="O129:O133" si="41">G129+I129+K129+M129</f>
        <v>335</v>
      </c>
      <c r="P129" s="251">
        <f t="shared" ref="P129:P133" si="42">H129+J129+L129+N129</f>
        <v>149</v>
      </c>
      <c r="Q129" s="253">
        <f>4+3+4</f>
        <v>11</v>
      </c>
      <c r="R129" s="251">
        <f>3+2+2</f>
        <v>7</v>
      </c>
      <c r="S129" s="274">
        <f>D129+O129</f>
        <v>932</v>
      </c>
      <c r="T129" s="251">
        <f>E129+P129</f>
        <v>409</v>
      </c>
      <c r="U129" s="253">
        <f>Sek_1!AC116+Sek_2!Q129</f>
        <v>40</v>
      </c>
      <c r="V129" s="251">
        <f>Sek_1!AD116+Sek_2!R129</f>
        <v>20</v>
      </c>
    </row>
    <row r="130" spans="1:22" s="258" customFormat="1" ht="45.6" x14ac:dyDescent="0.25">
      <c r="A130" s="251">
        <v>3</v>
      </c>
      <c r="B130" s="251" t="s">
        <v>122</v>
      </c>
      <c r="C130" s="252" t="s">
        <v>110</v>
      </c>
      <c r="D130" s="253">
        <f>Sek_1!AA117</f>
        <v>456</v>
      </c>
      <c r="E130" s="251">
        <f>Sek_1!AB117</f>
        <v>218</v>
      </c>
      <c r="F130" s="251">
        <f>Sek_1!AE117</f>
        <v>18</v>
      </c>
      <c r="G130" s="253">
        <v>85</v>
      </c>
      <c r="H130" s="251">
        <v>47</v>
      </c>
      <c r="I130" s="253">
        <v>83</v>
      </c>
      <c r="J130" s="251">
        <v>45</v>
      </c>
      <c r="K130" s="320">
        <v>0</v>
      </c>
      <c r="L130" s="320">
        <v>0</v>
      </c>
      <c r="M130" s="390"/>
      <c r="N130" s="390"/>
      <c r="O130" s="253">
        <f t="shared" si="41"/>
        <v>168</v>
      </c>
      <c r="P130" s="251">
        <f t="shared" si="42"/>
        <v>92</v>
      </c>
      <c r="Q130" s="321">
        <f>14+9</f>
        <v>23</v>
      </c>
      <c r="R130" s="320">
        <f>10+5</f>
        <v>15</v>
      </c>
      <c r="S130" s="274">
        <f>D130+O130</f>
        <v>624</v>
      </c>
      <c r="T130" s="251">
        <f>E130+P130</f>
        <v>310</v>
      </c>
      <c r="U130" s="253">
        <f>Sek_1!AC117+Sek_2!Q130</f>
        <v>70</v>
      </c>
      <c r="V130" s="251">
        <f>Sek_1!AD117+Sek_2!R130</f>
        <v>41</v>
      </c>
    </row>
    <row r="131" spans="1:22" s="258" customFormat="1" ht="15.6" x14ac:dyDescent="0.25">
      <c r="A131" s="251">
        <v>4</v>
      </c>
      <c r="B131" s="251" t="s">
        <v>122</v>
      </c>
      <c r="C131" s="260" t="s">
        <v>14</v>
      </c>
      <c r="D131" s="253">
        <f>Sek_1!AA118</f>
        <v>542</v>
      </c>
      <c r="E131" s="251">
        <f>Sek_1!AB118</f>
        <v>229</v>
      </c>
      <c r="F131" s="251">
        <f>Sek_1!AE118</f>
        <v>20</v>
      </c>
      <c r="G131" s="253">
        <v>114</v>
      </c>
      <c r="H131" s="251">
        <v>59</v>
      </c>
      <c r="I131" s="253">
        <v>118</v>
      </c>
      <c r="J131" s="251">
        <v>49</v>
      </c>
      <c r="K131" s="253">
        <v>99</v>
      </c>
      <c r="L131" s="251">
        <v>43</v>
      </c>
      <c r="M131" s="390"/>
      <c r="N131" s="390"/>
      <c r="O131" s="253">
        <f t="shared" si="41"/>
        <v>331</v>
      </c>
      <c r="P131" s="251">
        <f t="shared" si="42"/>
        <v>151</v>
      </c>
      <c r="Q131" s="253">
        <f>10+4+7</f>
        <v>21</v>
      </c>
      <c r="R131" s="251">
        <f>3+1+2</f>
        <v>6</v>
      </c>
      <c r="S131" s="274">
        <f>D131+O131</f>
        <v>873</v>
      </c>
      <c r="T131" s="251">
        <f>E131+P131</f>
        <v>380</v>
      </c>
      <c r="U131" s="253">
        <f>Sek_1!AC118+Sek_2!Q131</f>
        <v>80</v>
      </c>
      <c r="V131" s="251">
        <f>Sek_1!AD118+Sek_2!R131</f>
        <v>37</v>
      </c>
    </row>
    <row r="132" spans="1:22" s="258" customFormat="1" ht="15.6" x14ac:dyDescent="0.25">
      <c r="A132" s="251">
        <v>5</v>
      </c>
      <c r="B132" s="251" t="s">
        <v>122</v>
      </c>
      <c r="C132" s="260" t="s">
        <v>15</v>
      </c>
      <c r="D132" s="253">
        <f>Sek_1!AA119</f>
        <v>545</v>
      </c>
      <c r="E132" s="251">
        <f>Sek_1!AB119</f>
        <v>275</v>
      </c>
      <c r="F132" s="251">
        <f>Sek_1!AE119</f>
        <v>21</v>
      </c>
      <c r="G132" s="253">
        <v>130</v>
      </c>
      <c r="H132" s="251">
        <v>61</v>
      </c>
      <c r="I132" s="253">
        <v>137</v>
      </c>
      <c r="J132" s="251">
        <v>71</v>
      </c>
      <c r="K132" s="253">
        <v>112</v>
      </c>
      <c r="L132" s="251">
        <v>60</v>
      </c>
      <c r="M132" s="390"/>
      <c r="N132" s="390"/>
      <c r="O132" s="253">
        <f t="shared" si="41"/>
        <v>379</v>
      </c>
      <c r="P132" s="251">
        <f t="shared" si="42"/>
        <v>192</v>
      </c>
      <c r="Q132" s="253">
        <f>5+6</f>
        <v>11</v>
      </c>
      <c r="R132" s="251">
        <f>2+4</f>
        <v>6</v>
      </c>
      <c r="S132" s="274">
        <f>D132+O132</f>
        <v>924</v>
      </c>
      <c r="T132" s="251">
        <f>E132+P132</f>
        <v>467</v>
      </c>
      <c r="U132" s="253">
        <f>Sek_1!AC119+Sek_2!Q132</f>
        <v>43</v>
      </c>
      <c r="V132" s="251">
        <f>Sek_1!AD119+Sek_2!R132</f>
        <v>22</v>
      </c>
    </row>
    <row r="133" spans="1:22" s="258" customFormat="1" ht="15.6" x14ac:dyDescent="0.25">
      <c r="A133" s="251">
        <v>6</v>
      </c>
      <c r="B133" s="251" t="s">
        <v>122</v>
      </c>
      <c r="C133" s="252" t="s">
        <v>16</v>
      </c>
      <c r="D133" s="253">
        <f>Sek_1!AA120</f>
        <v>393</v>
      </c>
      <c r="E133" s="251">
        <f>Sek_1!AB120</f>
        <v>193</v>
      </c>
      <c r="F133" s="251">
        <f>Sek_1!AE120</f>
        <v>14</v>
      </c>
      <c r="G133" s="253">
        <v>92</v>
      </c>
      <c r="H133" s="251">
        <v>38</v>
      </c>
      <c r="I133" s="253">
        <v>98</v>
      </c>
      <c r="J133" s="251">
        <v>48</v>
      </c>
      <c r="K133" s="253">
        <v>113</v>
      </c>
      <c r="L133" s="251">
        <v>56</v>
      </c>
      <c r="M133" s="390"/>
      <c r="N133" s="390"/>
      <c r="O133" s="253">
        <f t="shared" si="41"/>
        <v>303</v>
      </c>
      <c r="P133" s="251">
        <f t="shared" si="42"/>
        <v>142</v>
      </c>
      <c r="Q133" s="253">
        <f>1+2+2</f>
        <v>5</v>
      </c>
      <c r="R133" s="251">
        <f>1+2</f>
        <v>3</v>
      </c>
      <c r="S133" s="274">
        <f>D133+O133</f>
        <v>696</v>
      </c>
      <c r="T133" s="251">
        <f>E133+P133</f>
        <v>335</v>
      </c>
      <c r="U133" s="253">
        <f>Sek_1!AC120+Sek_2!Q133</f>
        <v>14</v>
      </c>
      <c r="V133" s="251">
        <f>Sek_1!AD120+Sek_2!R133</f>
        <v>10</v>
      </c>
    </row>
    <row r="134" spans="1:22" s="258" customFormat="1" ht="30" x14ac:dyDescent="0.25">
      <c r="A134" s="251">
        <v>7</v>
      </c>
      <c r="B134" s="251" t="s">
        <v>122</v>
      </c>
      <c r="C134" s="252" t="s">
        <v>17</v>
      </c>
      <c r="D134" s="253" t="e">
        <f>Sek_1!AA121</f>
        <v>#REF!</v>
      </c>
      <c r="E134" s="251" t="e">
        <f>Sek_1!AB121</f>
        <v>#REF!</v>
      </c>
      <c r="F134" s="251" t="e">
        <f>Sek_1!AE121</f>
        <v>#REF!</v>
      </c>
      <c r="G134" s="355">
        <v>72</v>
      </c>
      <c r="H134" s="357">
        <v>42</v>
      </c>
      <c r="I134" s="355">
        <v>66</v>
      </c>
      <c r="J134" s="357">
        <v>37</v>
      </c>
      <c r="K134" s="355">
        <v>77</v>
      </c>
      <c r="L134" s="357">
        <v>41</v>
      </c>
      <c r="M134" s="390"/>
      <c r="N134" s="390"/>
      <c r="O134" s="253">
        <f>G134+I134+K134+M134</f>
        <v>215</v>
      </c>
      <c r="P134" s="251">
        <f>H134+J134+L134+N134</f>
        <v>120</v>
      </c>
      <c r="Q134" s="355">
        <f>4+1</f>
        <v>5</v>
      </c>
      <c r="R134" s="357">
        <f>1+1</f>
        <v>2</v>
      </c>
      <c r="S134" s="274" t="e">
        <f>D134+O134</f>
        <v>#REF!</v>
      </c>
      <c r="T134" s="251" t="e">
        <f>E134+P134</f>
        <v>#REF!</v>
      </c>
      <c r="U134" s="253">
        <f>Sek_1!AC121+Sek_2!Q134</f>
        <v>39</v>
      </c>
      <c r="V134" s="251">
        <f>Sek_1!AD121+Sek_2!R134</f>
        <v>19</v>
      </c>
    </row>
    <row r="135" spans="1:22" s="258" customFormat="1" ht="15.6" x14ac:dyDescent="0.25">
      <c r="A135" s="251">
        <v>8</v>
      </c>
      <c r="B135" s="251" t="s">
        <v>122</v>
      </c>
      <c r="C135" s="260" t="s">
        <v>18</v>
      </c>
      <c r="D135" s="253">
        <f>Sek_1!AA122</f>
        <v>497</v>
      </c>
      <c r="E135" s="251">
        <f>Sek_1!AB122</f>
        <v>245</v>
      </c>
      <c r="F135" s="251">
        <f>Sek_1!AE122</f>
        <v>20</v>
      </c>
      <c r="G135" s="253">
        <v>107</v>
      </c>
      <c r="H135" s="251">
        <v>51</v>
      </c>
      <c r="I135" s="253">
        <v>113</v>
      </c>
      <c r="J135" s="251">
        <v>53</v>
      </c>
      <c r="K135" s="253">
        <v>156</v>
      </c>
      <c r="L135" s="251">
        <v>88</v>
      </c>
      <c r="M135" s="390"/>
      <c r="N135" s="390"/>
      <c r="O135" s="253">
        <f>G135+I135+K135+M135</f>
        <v>376</v>
      </c>
      <c r="P135" s="251">
        <f>H135+J135+L135+N135</f>
        <v>192</v>
      </c>
      <c r="Q135" s="253">
        <f>6+10+4</f>
        <v>20</v>
      </c>
      <c r="R135" s="251">
        <f>2+5+1</f>
        <v>8</v>
      </c>
      <c r="S135" s="274">
        <f>D135+O135</f>
        <v>873</v>
      </c>
      <c r="T135" s="251">
        <f>E135+P135</f>
        <v>437</v>
      </c>
      <c r="U135" s="253">
        <f>Sek_1!AC122+Sek_2!Q135</f>
        <v>48</v>
      </c>
      <c r="V135" s="251">
        <f>Sek_1!AD122+Sek_2!R135</f>
        <v>22</v>
      </c>
    </row>
    <row r="136" spans="1:22" s="258" customFormat="1" ht="28.2" x14ac:dyDescent="0.25">
      <c r="A136" s="251">
        <v>9</v>
      </c>
      <c r="B136" s="251" t="s">
        <v>122</v>
      </c>
      <c r="C136" s="252" t="s">
        <v>84</v>
      </c>
      <c r="D136" s="253">
        <f>Sek_1!AA123</f>
        <v>399</v>
      </c>
      <c r="E136" s="251">
        <f>Sek_1!AB123</f>
        <v>199</v>
      </c>
      <c r="F136" s="251">
        <f>Sek_1!AE123</f>
        <v>14</v>
      </c>
      <c r="G136" s="253">
        <v>73</v>
      </c>
      <c r="H136" s="251">
        <v>33</v>
      </c>
      <c r="I136" s="253">
        <v>98</v>
      </c>
      <c r="J136" s="251">
        <v>45</v>
      </c>
      <c r="K136" s="253">
        <v>88</v>
      </c>
      <c r="L136" s="251">
        <v>35</v>
      </c>
      <c r="M136" s="390"/>
      <c r="N136" s="390"/>
      <c r="O136" s="253">
        <f t="shared" ref="O136:O138" si="43">G136+I136+K136+M136</f>
        <v>259</v>
      </c>
      <c r="P136" s="251">
        <f t="shared" ref="P136:P138" si="44">H136+J136+L136+N136</f>
        <v>113</v>
      </c>
      <c r="Q136" s="253">
        <f>2+3+6</f>
        <v>11</v>
      </c>
      <c r="R136" s="251">
        <f>1+1</f>
        <v>2</v>
      </c>
      <c r="S136" s="274">
        <f>D136+O136</f>
        <v>658</v>
      </c>
      <c r="T136" s="251">
        <f>E136+P136</f>
        <v>312</v>
      </c>
      <c r="U136" s="253">
        <f>Sek_1!AC123+Sek_2!Q136</f>
        <v>27</v>
      </c>
      <c r="V136" s="251">
        <f>Sek_1!AD123+Sek_2!R136</f>
        <v>10</v>
      </c>
    </row>
    <row r="137" spans="1:22" s="258" customFormat="1" ht="15.6" x14ac:dyDescent="0.25">
      <c r="A137" s="251">
        <v>10</v>
      </c>
      <c r="B137" s="251" t="s">
        <v>122</v>
      </c>
      <c r="C137" s="260" t="s">
        <v>20</v>
      </c>
      <c r="D137" s="253">
        <f>Sek_1!AA124</f>
        <v>514</v>
      </c>
      <c r="E137" s="251">
        <f>Sek_1!AB124</f>
        <v>253</v>
      </c>
      <c r="F137" s="251">
        <f>Sek_1!AE124</f>
        <v>19</v>
      </c>
      <c r="G137" s="253">
        <v>107</v>
      </c>
      <c r="H137" s="251">
        <v>49</v>
      </c>
      <c r="I137" s="253">
        <v>98</v>
      </c>
      <c r="J137" s="251">
        <v>53</v>
      </c>
      <c r="K137" s="253">
        <v>95</v>
      </c>
      <c r="L137" s="251">
        <v>39</v>
      </c>
      <c r="M137" s="390"/>
      <c r="N137" s="390"/>
      <c r="O137" s="253">
        <f t="shared" si="43"/>
        <v>300</v>
      </c>
      <c r="P137" s="251">
        <f t="shared" si="44"/>
        <v>141</v>
      </c>
      <c r="Q137" s="253">
        <f>2+1+2</f>
        <v>5</v>
      </c>
      <c r="R137" s="251">
        <f>1</f>
        <v>1</v>
      </c>
      <c r="S137" s="274">
        <f>D137+O137</f>
        <v>814</v>
      </c>
      <c r="T137" s="251">
        <f>E137+P137</f>
        <v>394</v>
      </c>
      <c r="U137" s="253">
        <f>Sek_1!AC124+Sek_2!Q137</f>
        <v>15</v>
      </c>
      <c r="V137" s="251">
        <f>Sek_1!AD124+Sek_2!R137</f>
        <v>4</v>
      </c>
    </row>
    <row r="138" spans="1:22" s="258" customFormat="1" ht="15.6" x14ac:dyDescent="0.25">
      <c r="A138" s="251">
        <v>11</v>
      </c>
      <c r="B138" s="251" t="s">
        <v>122</v>
      </c>
      <c r="C138" s="252" t="s">
        <v>21</v>
      </c>
      <c r="D138" s="253">
        <f>Sek_1!AA125</f>
        <v>553</v>
      </c>
      <c r="E138" s="251">
        <f>Sek_1!AB125</f>
        <v>246</v>
      </c>
      <c r="F138" s="251">
        <f>Sek_1!AE125</f>
        <v>20</v>
      </c>
      <c r="G138" s="253">
        <v>122</v>
      </c>
      <c r="H138" s="251">
        <v>44</v>
      </c>
      <c r="I138" s="253">
        <v>122</v>
      </c>
      <c r="J138" s="251">
        <v>50</v>
      </c>
      <c r="K138" s="253">
        <v>123</v>
      </c>
      <c r="L138" s="251">
        <v>54</v>
      </c>
      <c r="M138" s="390"/>
      <c r="N138" s="390"/>
      <c r="O138" s="253">
        <f t="shared" si="43"/>
        <v>367</v>
      </c>
      <c r="P138" s="251">
        <f t="shared" si="44"/>
        <v>148</v>
      </c>
      <c r="Q138" s="253">
        <f>4+7+5</f>
        <v>16</v>
      </c>
      <c r="R138" s="251">
        <f>1+7+2</f>
        <v>10</v>
      </c>
      <c r="S138" s="274">
        <f>D138+O138</f>
        <v>920</v>
      </c>
      <c r="T138" s="251">
        <f>E138+P138</f>
        <v>394</v>
      </c>
      <c r="U138" s="253">
        <f>Sek_1!AC125+Sek_2!Q138</f>
        <v>49</v>
      </c>
      <c r="V138" s="251">
        <f>Sek_1!AD125+Sek_2!R138</f>
        <v>23</v>
      </c>
    </row>
    <row r="139" spans="1:22" s="267" customFormat="1" ht="31.2" x14ac:dyDescent="0.25">
      <c r="A139" s="253"/>
      <c r="B139" s="253" t="s">
        <v>122</v>
      </c>
      <c r="C139" s="319" t="s">
        <v>53</v>
      </c>
      <c r="D139" s="274" t="e">
        <f t="shared" ref="D139:E139" si="45">SUM(D128:D138)</f>
        <v>#REF!</v>
      </c>
      <c r="E139" s="274" t="e">
        <f t="shared" si="45"/>
        <v>#REF!</v>
      </c>
      <c r="F139" s="274" t="e">
        <f>SUM(F128:F138)</f>
        <v>#REF!</v>
      </c>
      <c r="G139" s="274">
        <f t="shared" ref="G139:L139" si="46">SUM(G128:G138)</f>
        <v>1162</v>
      </c>
      <c r="H139" s="274">
        <f t="shared" si="46"/>
        <v>572</v>
      </c>
      <c r="I139" s="274">
        <f t="shared" si="46"/>
        <v>1202</v>
      </c>
      <c r="J139" s="274">
        <f t="shared" si="46"/>
        <v>581</v>
      </c>
      <c r="K139" s="274">
        <f t="shared" si="46"/>
        <v>1141</v>
      </c>
      <c r="L139" s="274">
        <f t="shared" si="46"/>
        <v>560</v>
      </c>
      <c r="M139" s="390"/>
      <c r="N139" s="390"/>
      <c r="O139" s="274">
        <f t="shared" ref="O139:T139" si="47">O128+O129+O130+O131+O132+O133+O134+O135+O136+O137+O138</f>
        <v>3505</v>
      </c>
      <c r="P139" s="274">
        <f t="shared" si="47"/>
        <v>1713</v>
      </c>
      <c r="Q139" s="274">
        <f t="shared" si="47"/>
        <v>139</v>
      </c>
      <c r="R139" s="274">
        <f t="shared" si="47"/>
        <v>68</v>
      </c>
      <c r="S139" s="274" t="e">
        <f t="shared" si="47"/>
        <v>#REF!</v>
      </c>
      <c r="T139" s="274" t="e">
        <f t="shared" si="47"/>
        <v>#REF!</v>
      </c>
      <c r="U139" s="274">
        <f>Sek_1!AC126+Sek_2!Q139</f>
        <v>455</v>
      </c>
      <c r="V139" s="274">
        <f>Sek_1!AD126+Sek_2!R139</f>
        <v>224</v>
      </c>
    </row>
    <row r="140" spans="1:22" s="258" customFormat="1" ht="15.6" x14ac:dyDescent="0.25">
      <c r="A140" s="337" t="s">
        <v>113</v>
      </c>
      <c r="B140" s="357"/>
      <c r="C140" s="338"/>
      <c r="D140" s="357"/>
      <c r="E140" s="357"/>
      <c r="F140" s="357"/>
      <c r="G140" s="357"/>
      <c r="H140" s="357"/>
      <c r="I140" s="357"/>
      <c r="J140" s="357"/>
      <c r="K140" s="357"/>
      <c r="L140" s="357"/>
      <c r="M140" s="357"/>
      <c r="N140" s="357"/>
      <c r="O140" s="357"/>
      <c r="P140" s="357"/>
      <c r="Q140" s="357"/>
      <c r="R140" s="357"/>
      <c r="S140" s="357"/>
      <c r="T140" s="357"/>
      <c r="U140" s="357"/>
      <c r="V140" s="357"/>
    </row>
    <row r="141" spans="1:22" s="258" customFormat="1" ht="15.6" x14ac:dyDescent="0.25">
      <c r="A141" s="337" t="s">
        <v>112</v>
      </c>
      <c r="B141" s="357"/>
      <c r="C141" s="338"/>
      <c r="D141" s="338"/>
      <c r="E141" s="338"/>
      <c r="F141" s="338"/>
      <c r="G141" s="338"/>
      <c r="H141" s="338"/>
      <c r="I141" s="338"/>
      <c r="J141" s="338"/>
      <c r="K141" s="338"/>
      <c r="L141" s="338"/>
      <c r="M141" s="338"/>
      <c r="N141" s="338"/>
      <c r="O141" s="338"/>
      <c r="P141" s="338"/>
      <c r="Q141" s="338"/>
      <c r="R141" s="338"/>
      <c r="S141" s="338"/>
      <c r="T141" s="338"/>
      <c r="U141" s="338"/>
      <c r="V141" s="338"/>
    </row>
    <row r="142" spans="1:22" ht="30" x14ac:dyDescent="0.25">
      <c r="A142" s="251">
        <v>1</v>
      </c>
      <c r="B142" s="251" t="s">
        <v>123</v>
      </c>
      <c r="C142" s="252" t="s">
        <v>11</v>
      </c>
      <c r="D142" s="253">
        <f>Sek_1!AA129</f>
        <v>699</v>
      </c>
      <c r="E142" s="251">
        <f>Sek_1!AB129</f>
        <v>352</v>
      </c>
      <c r="F142" s="251">
        <f>Sek_1!AE129</f>
        <v>25</v>
      </c>
      <c r="G142" s="253">
        <v>162</v>
      </c>
      <c r="H142" s="251">
        <v>89</v>
      </c>
      <c r="I142" s="253">
        <v>149</v>
      </c>
      <c r="J142" s="251">
        <v>90</v>
      </c>
      <c r="K142" s="253">
        <v>151</v>
      </c>
      <c r="L142" s="251">
        <v>91</v>
      </c>
      <c r="M142" s="390"/>
      <c r="N142" s="390"/>
      <c r="O142" s="253">
        <f>G142+I142+K142</f>
        <v>462</v>
      </c>
      <c r="P142" s="251">
        <f>H142+J142+L142+N142</f>
        <v>270</v>
      </c>
      <c r="Q142" s="253">
        <v>9</v>
      </c>
      <c r="R142" s="251">
        <v>7</v>
      </c>
      <c r="S142" s="274">
        <f>D142+O142</f>
        <v>1161</v>
      </c>
      <c r="T142" s="251">
        <f>E142+P142</f>
        <v>622</v>
      </c>
      <c r="U142" s="253">
        <f>Sek_1!AC129+Sek_2!Q142</f>
        <v>24</v>
      </c>
      <c r="V142" s="251">
        <f>Sek_1!AD129+Sek_2!R142</f>
        <v>15</v>
      </c>
    </row>
    <row r="143" spans="1:22" ht="41.4" x14ac:dyDescent="0.25">
      <c r="A143" s="251">
        <v>2</v>
      </c>
      <c r="B143" s="251" t="s">
        <v>123</v>
      </c>
      <c r="C143" s="252" t="s">
        <v>85</v>
      </c>
      <c r="D143" s="253">
        <f>Sek_1!AA130</f>
        <v>585</v>
      </c>
      <c r="E143" s="251">
        <f>Sek_1!AB130</f>
        <v>258</v>
      </c>
      <c r="F143" s="251">
        <f>Sek_1!AE130</f>
        <v>22</v>
      </c>
      <c r="G143" s="253">
        <v>125</v>
      </c>
      <c r="H143" s="251">
        <v>46</v>
      </c>
      <c r="I143" s="253">
        <v>97</v>
      </c>
      <c r="J143" s="251">
        <v>49</v>
      </c>
      <c r="K143" s="253">
        <v>111</v>
      </c>
      <c r="L143" s="251">
        <v>38</v>
      </c>
      <c r="M143" s="390"/>
      <c r="N143" s="390"/>
      <c r="O143" s="253">
        <f t="shared" ref="O143:O147" si="48">G143+I143+K143+M143</f>
        <v>333</v>
      </c>
      <c r="P143" s="251">
        <f t="shared" ref="P143:P147" si="49">H143+J143+L143+N143</f>
        <v>133</v>
      </c>
      <c r="Q143" s="253">
        <v>14</v>
      </c>
      <c r="R143" s="251">
        <v>9</v>
      </c>
      <c r="S143" s="274">
        <f>D143+O143</f>
        <v>918</v>
      </c>
      <c r="T143" s="251">
        <f>E143+P143</f>
        <v>391</v>
      </c>
      <c r="U143" s="253">
        <f>Sek_1!AC130+Sek_2!Q143</f>
        <v>47</v>
      </c>
      <c r="V143" s="251">
        <f>Sek_1!AD130+Sek_2!R143</f>
        <v>22</v>
      </c>
    </row>
    <row r="144" spans="1:22" ht="45.6" x14ac:dyDescent="0.25">
      <c r="A144" s="251">
        <v>3</v>
      </c>
      <c r="B144" s="251" t="s">
        <v>123</v>
      </c>
      <c r="C144" s="252" t="s">
        <v>110</v>
      </c>
      <c r="D144" s="253">
        <f>Sek_1!AA131</f>
        <v>412</v>
      </c>
      <c r="E144" s="251">
        <f>Sek_1!AB131</f>
        <v>195</v>
      </c>
      <c r="F144" s="251">
        <f>Sek_1!AE131</f>
        <v>17</v>
      </c>
      <c r="G144" s="253">
        <v>88</v>
      </c>
      <c r="H144" s="251">
        <v>46</v>
      </c>
      <c r="I144" s="253">
        <v>81</v>
      </c>
      <c r="J144" s="251">
        <v>41</v>
      </c>
      <c r="K144" s="321">
        <v>70</v>
      </c>
      <c r="L144" s="320">
        <v>40</v>
      </c>
      <c r="M144" s="390"/>
      <c r="N144" s="390"/>
      <c r="O144" s="253">
        <f t="shared" si="48"/>
        <v>239</v>
      </c>
      <c r="P144" s="251">
        <f t="shared" si="49"/>
        <v>127</v>
      </c>
      <c r="Q144" s="321">
        <v>26</v>
      </c>
      <c r="R144" s="320">
        <v>16</v>
      </c>
      <c r="S144" s="274">
        <f>D144+O144</f>
        <v>651</v>
      </c>
      <c r="T144" s="251">
        <f>E144+P144</f>
        <v>322</v>
      </c>
      <c r="U144" s="253">
        <f>Sek_1!AC131+Sek_2!Q144</f>
        <v>71</v>
      </c>
      <c r="V144" s="251">
        <f>Sek_1!AD131+Sek_2!R144</f>
        <v>41</v>
      </c>
    </row>
    <row r="145" spans="1:22" ht="15.6" x14ac:dyDescent="0.25">
      <c r="A145" s="251">
        <v>4</v>
      </c>
      <c r="B145" s="251" t="s">
        <v>123</v>
      </c>
      <c r="C145" s="260" t="s">
        <v>14</v>
      </c>
      <c r="D145" s="253">
        <f>Sek_1!AA132</f>
        <v>524</v>
      </c>
      <c r="E145" s="251">
        <f>Sek_1!AB132</f>
        <v>220</v>
      </c>
      <c r="F145" s="251">
        <f>Sek_1!AE132</f>
        <v>20</v>
      </c>
      <c r="G145" s="253">
        <v>121</v>
      </c>
      <c r="H145" s="251">
        <v>52</v>
      </c>
      <c r="I145" s="253">
        <v>107</v>
      </c>
      <c r="J145" s="251">
        <v>60</v>
      </c>
      <c r="K145" s="253">
        <v>114</v>
      </c>
      <c r="L145" s="251">
        <v>48</v>
      </c>
      <c r="M145" s="390"/>
      <c r="N145" s="390"/>
      <c r="O145" s="253">
        <f t="shared" si="48"/>
        <v>342</v>
      </c>
      <c r="P145" s="251">
        <f t="shared" si="49"/>
        <v>160</v>
      </c>
      <c r="Q145" s="253">
        <v>19</v>
      </c>
      <c r="R145" s="251">
        <v>8</v>
      </c>
      <c r="S145" s="274">
        <f>D145+O145</f>
        <v>866</v>
      </c>
      <c r="T145" s="251">
        <f>E145+P145</f>
        <v>380</v>
      </c>
      <c r="U145" s="253">
        <f>Sek_1!AC132+Sek_2!Q145</f>
        <v>73</v>
      </c>
      <c r="V145" s="251">
        <f>Sek_1!AD132+Sek_2!R145</f>
        <v>37</v>
      </c>
    </row>
    <row r="146" spans="1:22" ht="15.6" x14ac:dyDescent="0.25">
      <c r="A146" s="251">
        <v>5</v>
      </c>
      <c r="B146" s="251" t="s">
        <v>123</v>
      </c>
      <c r="C146" s="260" t="s">
        <v>15</v>
      </c>
      <c r="D146" s="253">
        <f>Sek_1!AA133</f>
        <v>538</v>
      </c>
      <c r="E146" s="251">
        <f>Sek_1!AB133</f>
        <v>257</v>
      </c>
      <c r="F146" s="251">
        <f>Sek_1!AE133</f>
        <v>21</v>
      </c>
      <c r="G146" s="253">
        <v>111</v>
      </c>
      <c r="H146" s="251">
        <v>64</v>
      </c>
      <c r="I146" s="253">
        <v>123</v>
      </c>
      <c r="J146" s="251">
        <v>60</v>
      </c>
      <c r="K146" s="253">
        <v>135</v>
      </c>
      <c r="L146" s="251">
        <v>68</v>
      </c>
      <c r="M146" s="390"/>
      <c r="N146" s="390"/>
      <c r="O146" s="253">
        <f t="shared" si="48"/>
        <v>369</v>
      </c>
      <c r="P146" s="251">
        <f t="shared" si="49"/>
        <v>192</v>
      </c>
      <c r="Q146" s="253">
        <v>11</v>
      </c>
      <c r="R146" s="251">
        <v>7</v>
      </c>
      <c r="S146" s="274">
        <f>D146+O146</f>
        <v>907</v>
      </c>
      <c r="T146" s="251">
        <f>E146+P146</f>
        <v>449</v>
      </c>
      <c r="U146" s="253">
        <f>Sek_1!AC133+Sek_2!Q146</f>
        <v>51</v>
      </c>
      <c r="V146" s="251">
        <f>Sek_1!AD133+Sek_2!R146</f>
        <v>26</v>
      </c>
    </row>
    <row r="147" spans="1:22" ht="15.6" x14ac:dyDescent="0.25">
      <c r="A147" s="251">
        <v>6</v>
      </c>
      <c r="B147" s="251" t="s">
        <v>123</v>
      </c>
      <c r="C147" s="252" t="s">
        <v>16</v>
      </c>
      <c r="D147" s="253">
        <f>Sek_1!AA134</f>
        <v>360</v>
      </c>
      <c r="E147" s="251">
        <f>Sek_1!AB134</f>
        <v>177</v>
      </c>
      <c r="F147" s="251">
        <f>Sek_1!AE134</f>
        <v>13</v>
      </c>
      <c r="G147" s="253">
        <v>88</v>
      </c>
      <c r="H147" s="251">
        <v>47</v>
      </c>
      <c r="I147" s="253">
        <v>85</v>
      </c>
      <c r="J147" s="251">
        <v>37</v>
      </c>
      <c r="K147" s="253">
        <v>94</v>
      </c>
      <c r="L147" s="251">
        <v>45</v>
      </c>
      <c r="M147" s="390"/>
      <c r="N147" s="390"/>
      <c r="O147" s="253">
        <f t="shared" si="48"/>
        <v>267</v>
      </c>
      <c r="P147" s="251">
        <f t="shared" si="49"/>
        <v>129</v>
      </c>
      <c r="Q147" s="253">
        <v>9</v>
      </c>
      <c r="R147" s="251">
        <v>6</v>
      </c>
      <c r="S147" s="274">
        <f>D147+O147</f>
        <v>627</v>
      </c>
      <c r="T147" s="251">
        <f>E147+P147</f>
        <v>306</v>
      </c>
      <c r="U147" s="253">
        <f>Sek_1!AC134+Sek_2!Q147</f>
        <v>13</v>
      </c>
      <c r="V147" s="251">
        <f>Sek_1!AD134+Sek_2!R147</f>
        <v>8</v>
      </c>
    </row>
    <row r="148" spans="1:22" ht="30" x14ac:dyDescent="0.25">
      <c r="A148" s="251">
        <v>7</v>
      </c>
      <c r="B148" s="251" t="s">
        <v>123</v>
      </c>
      <c r="C148" s="252" t="s">
        <v>17</v>
      </c>
      <c r="D148" s="253">
        <f>Sek_1!AA135</f>
        <v>346</v>
      </c>
      <c r="E148" s="251">
        <f>Sek_1!AB135</f>
        <v>151</v>
      </c>
      <c r="F148" s="251">
        <f>Sek_1!AE135</f>
        <v>13</v>
      </c>
      <c r="G148" s="355">
        <v>58</v>
      </c>
      <c r="H148" s="357">
        <v>21</v>
      </c>
      <c r="I148" s="355">
        <v>65</v>
      </c>
      <c r="J148" s="357">
        <v>40</v>
      </c>
      <c r="K148" s="355">
        <v>56</v>
      </c>
      <c r="L148" s="357">
        <v>34</v>
      </c>
      <c r="M148" s="390"/>
      <c r="N148" s="390"/>
      <c r="O148" s="253">
        <f>G148+I148+K148+M148</f>
        <v>179</v>
      </c>
      <c r="P148" s="251">
        <f>H148+J148+L148+N148</f>
        <v>95</v>
      </c>
      <c r="Q148" s="355">
        <v>10</v>
      </c>
      <c r="R148" s="357">
        <v>6</v>
      </c>
      <c r="S148" s="274">
        <f>D148+O148</f>
        <v>525</v>
      </c>
      <c r="T148" s="251">
        <f>E148+P148</f>
        <v>246</v>
      </c>
      <c r="U148" s="253">
        <f>Sek_1!AC135+Sek_2!Q148</f>
        <v>48</v>
      </c>
      <c r="V148" s="251">
        <f>Sek_1!AD135+Sek_2!R148</f>
        <v>25</v>
      </c>
    </row>
    <row r="149" spans="1:22" ht="15.6" x14ac:dyDescent="0.25">
      <c r="A149" s="251">
        <v>8</v>
      </c>
      <c r="B149" s="251" t="s">
        <v>123</v>
      </c>
      <c r="C149" s="260" t="s">
        <v>18</v>
      </c>
      <c r="D149" s="253">
        <f>Sek_1!AA136</f>
        <v>482</v>
      </c>
      <c r="E149" s="251">
        <f>Sek_1!AB136</f>
        <v>218</v>
      </c>
      <c r="F149" s="251">
        <f>Sek_1!AE136</f>
        <v>19</v>
      </c>
      <c r="G149" s="253">
        <v>123</v>
      </c>
      <c r="H149" s="251">
        <v>76</v>
      </c>
      <c r="I149" s="253">
        <v>110</v>
      </c>
      <c r="J149" s="251">
        <v>52</v>
      </c>
      <c r="K149" s="253">
        <v>107</v>
      </c>
      <c r="L149" s="251">
        <v>51</v>
      </c>
      <c r="M149" s="390"/>
      <c r="N149" s="390"/>
      <c r="O149" s="253">
        <f>G149+I149+K149+M149</f>
        <v>340</v>
      </c>
      <c r="P149" s="251">
        <f>H149+J149+L149+N149</f>
        <v>179</v>
      </c>
      <c r="Q149" s="253">
        <v>16</v>
      </c>
      <c r="R149" s="251">
        <v>6</v>
      </c>
      <c r="S149" s="274">
        <f>D149+O149</f>
        <v>822</v>
      </c>
      <c r="T149" s="251">
        <f>E149+P149</f>
        <v>397</v>
      </c>
      <c r="U149" s="253">
        <f>Sek_1!AC136+Sek_2!Q149</f>
        <v>47</v>
      </c>
      <c r="V149" s="251">
        <f>Sek_1!AD136+Sek_2!R149</f>
        <v>22</v>
      </c>
    </row>
    <row r="150" spans="1:22" ht="28.2" x14ac:dyDescent="0.25">
      <c r="A150" s="251">
        <v>9</v>
      </c>
      <c r="B150" s="251" t="s">
        <v>123</v>
      </c>
      <c r="C150" s="252" t="s">
        <v>84</v>
      </c>
      <c r="D150" s="253">
        <f>Sek_1!AA137</f>
        <v>434</v>
      </c>
      <c r="E150" s="251">
        <f>Sek_1!AB137</f>
        <v>198</v>
      </c>
      <c r="F150" s="251">
        <f>Sek_1!AE137</f>
        <v>15</v>
      </c>
      <c r="G150" s="253">
        <v>84</v>
      </c>
      <c r="H150" s="251">
        <v>40</v>
      </c>
      <c r="I150" s="253">
        <v>65</v>
      </c>
      <c r="J150" s="251">
        <v>32</v>
      </c>
      <c r="K150" s="253">
        <v>92</v>
      </c>
      <c r="L150" s="251">
        <v>41</v>
      </c>
      <c r="M150" s="390"/>
      <c r="N150" s="390"/>
      <c r="O150" s="253">
        <f t="shared" ref="O150:O152" si="50">G150+I150+K150+M150</f>
        <v>241</v>
      </c>
      <c r="P150" s="251">
        <f t="shared" ref="P150:P152" si="51">H150+J150+L150+N150</f>
        <v>113</v>
      </c>
      <c r="Q150" s="253">
        <v>6</v>
      </c>
      <c r="R150" s="251">
        <v>0</v>
      </c>
      <c r="S150" s="274">
        <f>D150+O150</f>
        <v>675</v>
      </c>
      <c r="T150" s="251">
        <f>E150+P150</f>
        <v>311</v>
      </c>
      <c r="U150" s="253">
        <f>Sek_1!AC137+Sek_2!Q150</f>
        <v>30</v>
      </c>
      <c r="V150" s="251">
        <f>Sek_1!AD137+Sek_2!R150</f>
        <v>11</v>
      </c>
    </row>
    <row r="151" spans="1:22" ht="15.6" x14ac:dyDescent="0.25">
      <c r="A151" s="251">
        <v>10</v>
      </c>
      <c r="B151" s="251" t="s">
        <v>123</v>
      </c>
      <c r="C151" s="260" t="s">
        <v>20</v>
      </c>
      <c r="D151" s="253">
        <f>Sek_1!AA138</f>
        <v>553</v>
      </c>
      <c r="E151" s="251">
        <f>Sek_1!AB138</f>
        <v>265</v>
      </c>
      <c r="F151" s="251">
        <f>Sek_1!AE138</f>
        <v>20</v>
      </c>
      <c r="G151" s="253">
        <v>81</v>
      </c>
      <c r="H151" s="251">
        <v>51</v>
      </c>
      <c r="I151" s="253">
        <v>100</v>
      </c>
      <c r="J151" s="251">
        <v>45</v>
      </c>
      <c r="K151" s="253">
        <v>89</v>
      </c>
      <c r="L151" s="251">
        <v>50</v>
      </c>
      <c r="M151" s="390"/>
      <c r="N151" s="390"/>
      <c r="O151" s="253">
        <f t="shared" si="50"/>
        <v>270</v>
      </c>
      <c r="P151" s="251">
        <f t="shared" si="51"/>
        <v>146</v>
      </c>
      <c r="Q151" s="253">
        <v>3</v>
      </c>
      <c r="R151" s="251">
        <v>1</v>
      </c>
      <c r="S151" s="274">
        <f>D151+O151</f>
        <v>823</v>
      </c>
      <c r="T151" s="251">
        <f>E151+P151</f>
        <v>411</v>
      </c>
      <c r="U151" s="253">
        <f>Sek_1!AC138+Sek_2!Q151</f>
        <v>12</v>
      </c>
      <c r="V151" s="251">
        <f>Sek_1!AD138+Sek_2!R151</f>
        <v>4</v>
      </c>
    </row>
    <row r="152" spans="1:22" ht="15.6" x14ac:dyDescent="0.25">
      <c r="A152" s="251">
        <v>11</v>
      </c>
      <c r="B152" s="251" t="s">
        <v>123</v>
      </c>
      <c r="C152" s="252" t="s">
        <v>21</v>
      </c>
      <c r="D152" s="253">
        <f>Sek_1!AA139</f>
        <v>558</v>
      </c>
      <c r="E152" s="251">
        <f>Sek_1!AB139</f>
        <v>244</v>
      </c>
      <c r="F152" s="251">
        <f>Sek_1!AE139</f>
        <v>20</v>
      </c>
      <c r="G152" s="253">
        <v>112</v>
      </c>
      <c r="H152" s="251">
        <v>46</v>
      </c>
      <c r="I152" s="253">
        <v>122</v>
      </c>
      <c r="J152" s="251">
        <v>47</v>
      </c>
      <c r="K152" s="253">
        <v>122</v>
      </c>
      <c r="L152" s="251">
        <v>49</v>
      </c>
      <c r="M152" s="390"/>
      <c r="N152" s="390"/>
      <c r="O152" s="253">
        <f t="shared" si="50"/>
        <v>356</v>
      </c>
      <c r="P152" s="251">
        <f t="shared" si="51"/>
        <v>142</v>
      </c>
      <c r="Q152" s="253">
        <v>19</v>
      </c>
      <c r="R152" s="251">
        <v>11</v>
      </c>
      <c r="S152" s="274">
        <f>D152+O152</f>
        <v>914</v>
      </c>
      <c r="T152" s="251">
        <f>E152+P152</f>
        <v>386</v>
      </c>
      <c r="U152" s="253">
        <f>Sek_1!AC139+Sek_2!Q152</f>
        <v>49</v>
      </c>
      <c r="V152" s="251">
        <f>Sek_1!AD139+Sek_2!R152</f>
        <v>22</v>
      </c>
    </row>
    <row r="153" spans="1:22" ht="31.2" x14ac:dyDescent="0.25">
      <c r="A153" s="253"/>
      <c r="B153" s="251" t="s">
        <v>123</v>
      </c>
      <c r="C153" s="319" t="s">
        <v>53</v>
      </c>
      <c r="D153" s="274">
        <f>Sek_1!AA140</f>
        <v>5491</v>
      </c>
      <c r="E153" s="274">
        <f>Sek_1!AB140</f>
        <v>2535</v>
      </c>
      <c r="F153" s="274">
        <f>Sek_1!AE140</f>
        <v>205</v>
      </c>
      <c r="G153" s="274">
        <f t="shared" ref="G153:L153" si="52">SUM(G142:G152)</f>
        <v>1153</v>
      </c>
      <c r="H153" s="274">
        <f t="shared" si="52"/>
        <v>578</v>
      </c>
      <c r="I153" s="274">
        <f t="shared" si="52"/>
        <v>1104</v>
      </c>
      <c r="J153" s="274">
        <f t="shared" si="52"/>
        <v>553</v>
      </c>
      <c r="K153" s="274">
        <f t="shared" si="52"/>
        <v>1141</v>
      </c>
      <c r="L153" s="274">
        <f t="shared" si="52"/>
        <v>555</v>
      </c>
      <c r="M153" s="390"/>
      <c r="N153" s="390"/>
      <c r="O153" s="274">
        <f t="shared" ref="O153:T153" si="53">O142+O143+O144+O145+O146+O147+O148+O149+O150+O151+O152</f>
        <v>3398</v>
      </c>
      <c r="P153" s="274">
        <f t="shared" si="53"/>
        <v>1686</v>
      </c>
      <c r="Q153" s="274">
        <f t="shared" si="53"/>
        <v>142</v>
      </c>
      <c r="R153" s="274">
        <f t="shared" si="53"/>
        <v>77</v>
      </c>
      <c r="S153" s="274">
        <f t="shared" si="53"/>
        <v>8889</v>
      </c>
      <c r="T153" s="274">
        <f t="shared" si="53"/>
        <v>4221</v>
      </c>
      <c r="U153" s="274">
        <f>Sek_1!AC140+Sek_2!Q153</f>
        <v>465</v>
      </c>
      <c r="V153" s="274">
        <f>Sek_1!AD140+Sek_2!R153</f>
        <v>233</v>
      </c>
    </row>
    <row r="154" spans="1:22" ht="15.6" x14ac:dyDescent="0.25">
      <c r="A154" s="337" t="s">
        <v>126</v>
      </c>
      <c r="B154" s="143"/>
      <c r="C154" s="33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</row>
    <row r="155" spans="1:22" ht="15.6" x14ac:dyDescent="0.25">
      <c r="A155" s="337" t="s">
        <v>112</v>
      </c>
      <c r="B155" s="143"/>
      <c r="C155" s="33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</row>
    <row r="156" spans="1:22" ht="30" x14ac:dyDescent="0.25">
      <c r="A156" s="251">
        <v>1</v>
      </c>
      <c r="B156" s="251" t="s">
        <v>127</v>
      </c>
      <c r="C156" s="252" t="s">
        <v>11</v>
      </c>
      <c r="D156" s="253">
        <f>Sek_1!AA142</f>
        <v>702</v>
      </c>
      <c r="E156" s="251">
        <f>Sek_1!AB142</f>
        <v>371</v>
      </c>
      <c r="F156" s="254">
        <f>Sek_1!AE142</f>
        <v>25</v>
      </c>
      <c r="G156" s="343">
        <v>155</v>
      </c>
      <c r="H156" s="251">
        <v>73</v>
      </c>
      <c r="I156" s="253">
        <v>163</v>
      </c>
      <c r="J156" s="251">
        <v>93</v>
      </c>
      <c r="K156" s="253">
        <v>134</v>
      </c>
      <c r="L156" s="251">
        <v>82</v>
      </c>
      <c r="M156" s="390"/>
      <c r="N156" s="390"/>
      <c r="O156" s="253">
        <f>G156+I156+K156</f>
        <v>452</v>
      </c>
      <c r="P156" s="251">
        <f>H156+J156+L156+N156</f>
        <v>248</v>
      </c>
      <c r="Q156" s="253">
        <v>10</v>
      </c>
      <c r="R156" s="254">
        <v>7</v>
      </c>
      <c r="S156" s="344">
        <f>D156+O156</f>
        <v>1154</v>
      </c>
      <c r="T156" s="251">
        <f>E156+P156</f>
        <v>619</v>
      </c>
      <c r="U156" s="253">
        <f>Sek_1!AC142+Sek_2!Q156</f>
        <v>28</v>
      </c>
      <c r="V156" s="251">
        <f>Sek_1!AD142+Sek_2!R156</f>
        <v>15</v>
      </c>
    </row>
    <row r="157" spans="1:22" ht="41.4" x14ac:dyDescent="0.25">
      <c r="A157" s="251">
        <v>2</v>
      </c>
      <c r="B157" s="251" t="s">
        <v>127</v>
      </c>
      <c r="C157" s="252" t="s">
        <v>85</v>
      </c>
      <c r="D157" s="253">
        <f>Sek_1!AA143</f>
        <v>596</v>
      </c>
      <c r="E157" s="251">
        <f>Sek_1!AB143</f>
        <v>272</v>
      </c>
      <c r="F157" s="254">
        <f>Sek_1!AE143</f>
        <v>23</v>
      </c>
      <c r="G157" s="343">
        <v>112</v>
      </c>
      <c r="H157" s="251">
        <v>41</v>
      </c>
      <c r="I157" s="253">
        <v>117</v>
      </c>
      <c r="J157" s="251">
        <v>43</v>
      </c>
      <c r="K157" s="253">
        <v>94</v>
      </c>
      <c r="L157" s="251">
        <v>48</v>
      </c>
      <c r="M157" s="390"/>
      <c r="N157" s="390"/>
      <c r="O157" s="253">
        <f t="shared" ref="O157:O161" si="54">G157+I157+K157+M157</f>
        <v>323</v>
      </c>
      <c r="P157" s="251">
        <f t="shared" ref="P157:P161" si="55">H157+J157+L157+N157</f>
        <v>132</v>
      </c>
      <c r="Q157" s="253">
        <v>11</v>
      </c>
      <c r="R157" s="254">
        <v>6</v>
      </c>
      <c r="S157" s="344">
        <f>D157+O157</f>
        <v>919</v>
      </c>
      <c r="T157" s="251">
        <f>E157+P157</f>
        <v>404</v>
      </c>
      <c r="U157" s="253">
        <f>Sek_1!AC143+Sek_2!Q157</f>
        <v>48</v>
      </c>
      <c r="V157" s="251">
        <f>Sek_1!AD143+Sek_2!R157</f>
        <v>27</v>
      </c>
    </row>
    <row r="158" spans="1:22" ht="45.6" x14ac:dyDescent="0.25">
      <c r="A158" s="251">
        <v>3</v>
      </c>
      <c r="B158" s="251" t="s">
        <v>127</v>
      </c>
      <c r="C158" s="252" t="s">
        <v>110</v>
      </c>
      <c r="D158" s="253">
        <f>Sek_1!AA144</f>
        <v>394</v>
      </c>
      <c r="E158" s="251">
        <f>Sek_1!AB144</f>
        <v>195</v>
      </c>
      <c r="F158" s="254">
        <f>Sek_1!AE144</f>
        <v>17</v>
      </c>
      <c r="G158" s="343">
        <v>88</v>
      </c>
      <c r="H158" s="251">
        <v>40</v>
      </c>
      <c r="I158" s="253">
        <v>88</v>
      </c>
      <c r="J158" s="251">
        <v>44</v>
      </c>
      <c r="K158" s="321">
        <v>73</v>
      </c>
      <c r="L158" s="320">
        <v>40</v>
      </c>
      <c r="M158" s="390"/>
      <c r="N158" s="390"/>
      <c r="O158" s="253">
        <f t="shared" si="54"/>
        <v>249</v>
      </c>
      <c r="P158" s="251">
        <f t="shared" si="55"/>
        <v>124</v>
      </c>
      <c r="Q158" s="321">
        <v>27</v>
      </c>
      <c r="R158" s="345">
        <v>18</v>
      </c>
      <c r="S158" s="344">
        <f>D158+O158</f>
        <v>643</v>
      </c>
      <c r="T158" s="251">
        <f>E158+P158</f>
        <v>319</v>
      </c>
      <c r="U158" s="253">
        <f>Sek_1!AC144+Sek_2!Q158</f>
        <v>70</v>
      </c>
      <c r="V158" s="251">
        <f>Sek_1!AD144+Sek_2!R158</f>
        <v>43</v>
      </c>
    </row>
    <row r="159" spans="1:22" ht="15.6" x14ac:dyDescent="0.25">
      <c r="A159" s="251">
        <v>4</v>
      </c>
      <c r="B159" s="251" t="s">
        <v>127</v>
      </c>
      <c r="C159" s="260" t="s">
        <v>14</v>
      </c>
      <c r="D159" s="253">
        <f>Sek_1!AA145</f>
        <v>546</v>
      </c>
      <c r="E159" s="251">
        <f>Sek_1!AB145</f>
        <v>226</v>
      </c>
      <c r="F159" s="254">
        <f>Sek_1!AE145</f>
        <v>20</v>
      </c>
      <c r="G159" s="343">
        <v>92</v>
      </c>
      <c r="H159" s="251">
        <v>41</v>
      </c>
      <c r="I159" s="253">
        <v>123</v>
      </c>
      <c r="J159" s="251">
        <v>53</v>
      </c>
      <c r="K159" s="253">
        <v>98</v>
      </c>
      <c r="L159" s="251">
        <v>58</v>
      </c>
      <c r="M159" s="390"/>
      <c r="N159" s="390"/>
      <c r="O159" s="253">
        <f t="shared" si="54"/>
        <v>313</v>
      </c>
      <c r="P159" s="251">
        <f t="shared" si="55"/>
        <v>152</v>
      </c>
      <c r="Q159" s="253">
        <v>23</v>
      </c>
      <c r="R159" s="254">
        <v>11</v>
      </c>
      <c r="S159" s="344">
        <f>D159+O159</f>
        <v>859</v>
      </c>
      <c r="T159" s="251">
        <f>E159+P159</f>
        <v>378</v>
      </c>
      <c r="U159" s="253">
        <f>Sek_1!AC145+Sek_2!Q159</f>
        <v>79</v>
      </c>
      <c r="V159" s="251">
        <f>Sek_1!AD145+Sek_2!R159</f>
        <v>44</v>
      </c>
    </row>
    <row r="160" spans="1:22" ht="15.6" x14ac:dyDescent="0.25">
      <c r="A160" s="251">
        <v>5</v>
      </c>
      <c r="B160" s="251" t="s">
        <v>127</v>
      </c>
      <c r="C160" s="260" t="s">
        <v>15</v>
      </c>
      <c r="D160" s="253">
        <f>Sek_1!AA146</f>
        <v>531</v>
      </c>
      <c r="E160" s="251">
        <f>Sek_1!AB146</f>
        <v>264</v>
      </c>
      <c r="F160" s="254">
        <f>Sek_1!AE146</f>
        <v>21</v>
      </c>
      <c r="G160" s="343">
        <v>105</v>
      </c>
      <c r="H160" s="251">
        <v>54</v>
      </c>
      <c r="I160" s="253">
        <v>111</v>
      </c>
      <c r="J160" s="251">
        <v>64</v>
      </c>
      <c r="K160" s="253">
        <v>124</v>
      </c>
      <c r="L160" s="251">
        <v>60</v>
      </c>
      <c r="M160" s="390"/>
      <c r="N160" s="390"/>
      <c r="O160" s="253">
        <f t="shared" si="54"/>
        <v>340</v>
      </c>
      <c r="P160" s="251">
        <f t="shared" si="55"/>
        <v>178</v>
      </c>
      <c r="Q160" s="253">
        <v>9</v>
      </c>
      <c r="R160" s="254">
        <v>4</v>
      </c>
      <c r="S160" s="344">
        <f>D160+O160</f>
        <v>871</v>
      </c>
      <c r="T160" s="251">
        <f>E160+P160</f>
        <v>442</v>
      </c>
      <c r="U160" s="253">
        <f>Sek_1!AC146+Sek_2!Q160</f>
        <v>52</v>
      </c>
      <c r="V160" s="251">
        <f>Sek_1!AD146+Sek_2!R160</f>
        <v>25</v>
      </c>
    </row>
    <row r="161" spans="1:22" ht="15.6" x14ac:dyDescent="0.25">
      <c r="A161" s="251">
        <v>6</v>
      </c>
      <c r="B161" s="251" t="s">
        <v>127</v>
      </c>
      <c r="C161" s="252" t="s">
        <v>16</v>
      </c>
      <c r="D161" s="253">
        <f>Sek_1!AA147</f>
        <v>399</v>
      </c>
      <c r="E161" s="251">
        <f>Sek_1!AB147</f>
        <v>196</v>
      </c>
      <c r="F161" s="254">
        <f>Sek_1!AE147</f>
        <v>15</v>
      </c>
      <c r="G161" s="343">
        <v>62</v>
      </c>
      <c r="H161" s="251">
        <v>24</v>
      </c>
      <c r="I161" s="253">
        <v>81</v>
      </c>
      <c r="J161" s="251">
        <v>41</v>
      </c>
      <c r="K161" s="253">
        <v>86</v>
      </c>
      <c r="L161" s="251">
        <v>35</v>
      </c>
      <c r="M161" s="390"/>
      <c r="N161" s="390"/>
      <c r="O161" s="253">
        <f t="shared" si="54"/>
        <v>229</v>
      </c>
      <c r="P161" s="251">
        <f t="shared" si="55"/>
        <v>100</v>
      </c>
      <c r="Q161" s="253">
        <v>8</v>
      </c>
      <c r="R161" s="254">
        <v>5</v>
      </c>
      <c r="S161" s="344">
        <f>D161+O161</f>
        <v>628</v>
      </c>
      <c r="T161" s="251">
        <f>E161+P161</f>
        <v>296</v>
      </c>
      <c r="U161" s="253">
        <f>Sek_1!AC147+Sek_2!Q161</f>
        <v>13</v>
      </c>
      <c r="V161" s="251">
        <f>Sek_1!AD147+Sek_2!R161</f>
        <v>7</v>
      </c>
    </row>
    <row r="162" spans="1:22" ht="30" x14ac:dyDescent="0.25">
      <c r="A162" s="251">
        <v>7</v>
      </c>
      <c r="B162" s="251" t="s">
        <v>127</v>
      </c>
      <c r="C162" s="252" t="s">
        <v>17</v>
      </c>
      <c r="D162" s="253">
        <f>Sek_1!AA148</f>
        <v>308</v>
      </c>
      <c r="E162" s="251">
        <f>Sek_1!AB148</f>
        <v>139</v>
      </c>
      <c r="F162" s="254">
        <f>Sek_1!AE148</f>
        <v>12</v>
      </c>
      <c r="G162" s="358">
        <v>77</v>
      </c>
      <c r="H162" s="357">
        <v>30</v>
      </c>
      <c r="I162" s="355">
        <v>57</v>
      </c>
      <c r="J162" s="357">
        <v>23</v>
      </c>
      <c r="K162" s="355">
        <v>63</v>
      </c>
      <c r="L162" s="357">
        <v>39</v>
      </c>
      <c r="M162" s="390"/>
      <c r="N162" s="390"/>
      <c r="O162" s="253">
        <f>G162+I162+K162+M162</f>
        <v>197</v>
      </c>
      <c r="P162" s="251">
        <f>H162+J162+L162+N162</f>
        <v>92</v>
      </c>
      <c r="Q162" s="355">
        <v>12</v>
      </c>
      <c r="R162" s="359">
        <v>7</v>
      </c>
      <c r="S162" s="344">
        <f>D162+O162</f>
        <v>505</v>
      </c>
      <c r="T162" s="251">
        <f>E162+P162</f>
        <v>231</v>
      </c>
      <c r="U162" s="253">
        <f>Sek_1!AC148+Sek_2!Q162</f>
        <v>51</v>
      </c>
      <c r="V162" s="251">
        <f>Sek_1!AD148+Sek_2!R162</f>
        <v>26</v>
      </c>
    </row>
    <row r="163" spans="1:22" ht="15.6" x14ac:dyDescent="0.25">
      <c r="A163" s="251">
        <v>8</v>
      </c>
      <c r="B163" s="251" t="s">
        <v>127</v>
      </c>
      <c r="C163" s="260" t="s">
        <v>18</v>
      </c>
      <c r="D163" s="253">
        <f>Sek_1!AA149</f>
        <v>490</v>
      </c>
      <c r="E163" s="251">
        <f>Sek_1!AB149</f>
        <v>221</v>
      </c>
      <c r="F163" s="254">
        <f>Sek_1!AE149</f>
        <v>20</v>
      </c>
      <c r="G163" s="343">
        <v>100</v>
      </c>
      <c r="H163" s="251">
        <v>51</v>
      </c>
      <c r="I163" s="253">
        <v>124</v>
      </c>
      <c r="J163" s="251">
        <v>77</v>
      </c>
      <c r="K163" s="253">
        <v>105</v>
      </c>
      <c r="L163" s="251">
        <v>52</v>
      </c>
      <c r="M163" s="390"/>
      <c r="N163" s="390"/>
      <c r="O163" s="253">
        <f>G163+I163+K163+M163</f>
        <v>329</v>
      </c>
      <c r="P163" s="251">
        <f>H163+J163+L163+N163</f>
        <v>180</v>
      </c>
      <c r="Q163" s="253">
        <v>15</v>
      </c>
      <c r="R163" s="254">
        <v>8</v>
      </c>
      <c r="S163" s="344">
        <f>D163+O163</f>
        <v>819</v>
      </c>
      <c r="T163" s="251">
        <f>E163+P163</f>
        <v>401</v>
      </c>
      <c r="U163" s="253">
        <f>Sek_1!AC149+Sek_2!Q163</f>
        <v>36</v>
      </c>
      <c r="V163" s="251">
        <f>Sek_1!AD149+Sek_2!R163</f>
        <v>19</v>
      </c>
    </row>
    <row r="164" spans="1:22" ht="28.2" x14ac:dyDescent="0.25">
      <c r="A164" s="251">
        <v>9</v>
      </c>
      <c r="B164" s="251" t="s">
        <v>127</v>
      </c>
      <c r="C164" s="252" t="s">
        <v>84</v>
      </c>
      <c r="D164" s="253">
        <f>Sek_1!AA150</f>
        <v>456</v>
      </c>
      <c r="E164" s="251">
        <f>Sek_1!AB150</f>
        <v>193</v>
      </c>
      <c r="F164" s="254">
        <f>Sek_1!AE150</f>
        <v>16</v>
      </c>
      <c r="G164" s="343">
        <v>85</v>
      </c>
      <c r="H164" s="251">
        <v>47</v>
      </c>
      <c r="I164" s="253">
        <v>74</v>
      </c>
      <c r="J164" s="251">
        <v>40</v>
      </c>
      <c r="K164" s="253">
        <v>62</v>
      </c>
      <c r="L164" s="251">
        <v>32</v>
      </c>
      <c r="M164" s="390"/>
      <c r="N164" s="390"/>
      <c r="O164" s="253">
        <f t="shared" ref="O164:O166" si="56">G164+I164+K164+M164</f>
        <v>221</v>
      </c>
      <c r="P164" s="251">
        <f t="shared" ref="P164:P166" si="57">H164+J164+L164+N164</f>
        <v>119</v>
      </c>
      <c r="Q164" s="253">
        <v>9</v>
      </c>
      <c r="R164" s="254">
        <v>4</v>
      </c>
      <c r="S164" s="344">
        <f>D164+O164</f>
        <v>677</v>
      </c>
      <c r="T164" s="251">
        <f>E164+P164</f>
        <v>312</v>
      </c>
      <c r="U164" s="253">
        <f>Sek_1!AC150+Sek_2!Q164</f>
        <v>28</v>
      </c>
      <c r="V164" s="251">
        <f>Sek_1!AD150+Sek_2!R164</f>
        <v>11</v>
      </c>
    </row>
    <row r="165" spans="1:22" ht="15.6" x14ac:dyDescent="0.25">
      <c r="A165" s="251">
        <v>10</v>
      </c>
      <c r="B165" s="251" t="s">
        <v>127</v>
      </c>
      <c r="C165" s="260" t="s">
        <v>20</v>
      </c>
      <c r="D165" s="253">
        <f>Sek_1!AA151</f>
        <v>547</v>
      </c>
      <c r="E165" s="251">
        <f>Sek_1!AB151</f>
        <v>259</v>
      </c>
      <c r="F165" s="254">
        <f>Sek_1!AE151</f>
        <v>20</v>
      </c>
      <c r="G165" s="343">
        <v>114</v>
      </c>
      <c r="H165" s="251">
        <v>58</v>
      </c>
      <c r="I165" s="253">
        <v>81</v>
      </c>
      <c r="J165" s="251">
        <v>50</v>
      </c>
      <c r="K165" s="253">
        <v>95</v>
      </c>
      <c r="L165" s="251">
        <v>46</v>
      </c>
      <c r="M165" s="390"/>
      <c r="N165" s="390"/>
      <c r="O165" s="253">
        <f t="shared" si="56"/>
        <v>290</v>
      </c>
      <c r="P165" s="251">
        <f t="shared" si="57"/>
        <v>154</v>
      </c>
      <c r="Q165" s="253">
        <v>4</v>
      </c>
      <c r="R165" s="254">
        <v>2</v>
      </c>
      <c r="S165" s="344">
        <f>D165+O165</f>
        <v>837</v>
      </c>
      <c r="T165" s="251">
        <f>E165+P165</f>
        <v>413</v>
      </c>
      <c r="U165" s="253">
        <f>Sek_1!AC151+Sek_2!Q165</f>
        <v>14</v>
      </c>
      <c r="V165" s="251">
        <f>Sek_1!AD151+Sek_2!R165</f>
        <v>7</v>
      </c>
    </row>
    <row r="166" spans="1:22" ht="15.6" x14ac:dyDescent="0.25">
      <c r="A166" s="251">
        <v>11</v>
      </c>
      <c r="B166" s="251" t="s">
        <v>127</v>
      </c>
      <c r="C166" s="252" t="s">
        <v>21</v>
      </c>
      <c r="D166" s="253">
        <f>Sek_1!AA152</f>
        <v>568</v>
      </c>
      <c r="E166" s="251">
        <f>Sek_1!AB152</f>
        <v>254</v>
      </c>
      <c r="F166" s="254">
        <f>Sek_1!AE152</f>
        <v>20</v>
      </c>
      <c r="G166" s="343">
        <v>120</v>
      </c>
      <c r="H166" s="251">
        <v>49</v>
      </c>
      <c r="I166" s="253">
        <v>108</v>
      </c>
      <c r="J166" s="251">
        <v>46</v>
      </c>
      <c r="K166" s="253">
        <v>121</v>
      </c>
      <c r="L166" s="251">
        <v>47</v>
      </c>
      <c r="M166" s="390"/>
      <c r="N166" s="390"/>
      <c r="O166" s="253">
        <f t="shared" si="56"/>
        <v>349</v>
      </c>
      <c r="P166" s="251">
        <f t="shared" si="57"/>
        <v>142</v>
      </c>
      <c r="Q166" s="253">
        <v>21</v>
      </c>
      <c r="R166" s="254">
        <v>7</v>
      </c>
      <c r="S166" s="344">
        <f>D166+O166</f>
        <v>917</v>
      </c>
      <c r="T166" s="251">
        <f>E166+P166</f>
        <v>396</v>
      </c>
      <c r="U166" s="253">
        <f>Sek_1!AC152+Sek_2!Q166</f>
        <v>44</v>
      </c>
      <c r="V166" s="251">
        <f>Sek_1!AD152+Sek_2!R166</f>
        <v>19</v>
      </c>
    </row>
    <row r="167" spans="1:22" ht="31.2" x14ac:dyDescent="0.25">
      <c r="A167" s="253"/>
      <c r="B167" s="251" t="s">
        <v>127</v>
      </c>
      <c r="C167" s="319" t="s">
        <v>53</v>
      </c>
      <c r="D167" s="274">
        <f t="shared" ref="D167:F167" si="58">SUM(D156:D166)</f>
        <v>5537</v>
      </c>
      <c r="E167" s="274">
        <f t="shared" si="58"/>
        <v>2590</v>
      </c>
      <c r="F167" s="346">
        <f t="shared" si="58"/>
        <v>209</v>
      </c>
      <c r="G167" s="344">
        <f t="shared" ref="G167:L167" si="59">SUM(G156:G166)</f>
        <v>1110</v>
      </c>
      <c r="H167" s="274">
        <f t="shared" si="59"/>
        <v>508</v>
      </c>
      <c r="I167" s="274">
        <f t="shared" si="59"/>
        <v>1127</v>
      </c>
      <c r="J167" s="274">
        <f t="shared" si="59"/>
        <v>574</v>
      </c>
      <c r="K167" s="274">
        <f t="shared" si="59"/>
        <v>1055</v>
      </c>
      <c r="L167" s="274">
        <f t="shared" si="59"/>
        <v>539</v>
      </c>
      <c r="M167" s="390"/>
      <c r="N167" s="390"/>
      <c r="O167" s="274">
        <f t="shared" ref="O167:T167" si="60">O156+O157+O158+O159+O160+O161+O162+O163+O164+O165+O166</f>
        <v>3292</v>
      </c>
      <c r="P167" s="274">
        <f t="shared" si="60"/>
        <v>1621</v>
      </c>
      <c r="Q167" s="274">
        <f t="shared" si="60"/>
        <v>149</v>
      </c>
      <c r="R167" s="346">
        <f t="shared" si="60"/>
        <v>79</v>
      </c>
      <c r="S167" s="344">
        <f t="shared" si="60"/>
        <v>8829</v>
      </c>
      <c r="T167" s="274">
        <f t="shared" si="60"/>
        <v>4211</v>
      </c>
      <c r="U167" s="274">
        <f>Sek_1!AC153+Sek_2!Q167</f>
        <v>463</v>
      </c>
      <c r="V167" s="274">
        <f>Sek_1!AD153+Sek_2!R167</f>
        <v>243</v>
      </c>
    </row>
    <row r="168" spans="1:22" ht="15.6" x14ac:dyDescent="0.25">
      <c r="A168" s="83" t="s">
        <v>128</v>
      </c>
    </row>
    <row r="169" spans="1:22" ht="15.6" x14ac:dyDescent="0.25">
      <c r="A169" s="83" t="s">
        <v>129</v>
      </c>
    </row>
    <row r="170" spans="1:22" ht="30" x14ac:dyDescent="0.25">
      <c r="A170" s="251">
        <v>1</v>
      </c>
      <c r="B170" s="251" t="s">
        <v>131</v>
      </c>
      <c r="C170" s="252" t="s">
        <v>11</v>
      </c>
      <c r="D170" s="253">
        <f>Sek_1!AA155</f>
        <v>693</v>
      </c>
      <c r="E170" s="251">
        <f>Sek_1!AB155</f>
        <v>374</v>
      </c>
      <c r="F170" s="254">
        <f>Sek_1!AE155</f>
        <v>25</v>
      </c>
      <c r="G170" s="343">
        <v>149</v>
      </c>
      <c r="H170" s="251">
        <v>81</v>
      </c>
      <c r="I170" s="253">
        <v>147</v>
      </c>
      <c r="J170" s="251">
        <v>68</v>
      </c>
      <c r="K170" s="253">
        <v>150</v>
      </c>
      <c r="L170" s="251">
        <v>86</v>
      </c>
      <c r="M170" s="390"/>
      <c r="N170" s="390"/>
      <c r="O170" s="253">
        <f>G170+I170+K170</f>
        <v>446</v>
      </c>
      <c r="P170" s="251">
        <f>H170+J170+L170+N170</f>
        <v>235</v>
      </c>
      <c r="Q170" s="253">
        <v>13</v>
      </c>
      <c r="R170" s="254">
        <v>8</v>
      </c>
      <c r="S170" s="344">
        <f>D170+O170</f>
        <v>1139</v>
      </c>
      <c r="T170" s="251">
        <f>E170+P170</f>
        <v>609</v>
      </c>
      <c r="U170" s="253">
        <f>Sek_1!AC155+Sek_2!Q170</f>
        <v>34</v>
      </c>
      <c r="V170" s="251">
        <f>Sek_1!AD155+Sek_2!R170</f>
        <v>17</v>
      </c>
    </row>
    <row r="171" spans="1:22" ht="41.4" x14ac:dyDescent="0.25">
      <c r="A171" s="251">
        <v>2</v>
      </c>
      <c r="B171" s="251" t="s">
        <v>131</v>
      </c>
      <c r="C171" s="252" t="s">
        <v>85</v>
      </c>
      <c r="D171" s="253">
        <f>Sek_1!AA156</f>
        <v>615</v>
      </c>
      <c r="E171" s="251">
        <f>Sek_1!AB156</f>
        <v>265</v>
      </c>
      <c r="F171" s="254">
        <f>Sek_1!AE156</f>
        <v>23</v>
      </c>
      <c r="G171" s="343">
        <v>116</v>
      </c>
      <c r="H171" s="251">
        <v>59</v>
      </c>
      <c r="I171" s="253">
        <v>110</v>
      </c>
      <c r="J171" s="251">
        <v>43</v>
      </c>
      <c r="K171" s="253">
        <v>109</v>
      </c>
      <c r="L171" s="251">
        <v>40</v>
      </c>
      <c r="M171" s="390"/>
      <c r="N171" s="390"/>
      <c r="O171" s="253">
        <f t="shared" ref="O171:O175" si="61">G171+I171+K171+M171</f>
        <v>335</v>
      </c>
      <c r="P171" s="251">
        <f t="shared" ref="P171:P175" si="62">H171+J171+L171+N171</f>
        <v>142</v>
      </c>
      <c r="Q171" s="253">
        <v>8</v>
      </c>
      <c r="R171" s="254">
        <v>3</v>
      </c>
      <c r="S171" s="344">
        <f>D171+O171</f>
        <v>950</v>
      </c>
      <c r="T171" s="251">
        <f>E171+P171</f>
        <v>407</v>
      </c>
      <c r="U171" s="253">
        <f>Sek_1!AC156+Sek_2!Q171</f>
        <v>46</v>
      </c>
      <c r="V171" s="251">
        <f>Sek_1!AD156+Sek_2!R171</f>
        <v>21</v>
      </c>
    </row>
    <row r="172" spans="1:22" ht="45.6" x14ac:dyDescent="0.25">
      <c r="A172" s="251">
        <v>3</v>
      </c>
      <c r="B172" s="251" t="s">
        <v>131</v>
      </c>
      <c r="C172" s="252" t="s">
        <v>110</v>
      </c>
      <c r="D172" s="253">
        <f>Sek_1!AA157</f>
        <v>408</v>
      </c>
      <c r="E172" s="251">
        <f>Sek_1!AB157</f>
        <v>204</v>
      </c>
      <c r="F172" s="254">
        <f>Sek_1!AE157</f>
        <v>16</v>
      </c>
      <c r="G172" s="343">
        <v>63</v>
      </c>
      <c r="H172" s="251">
        <v>29</v>
      </c>
      <c r="I172" s="253">
        <v>82</v>
      </c>
      <c r="J172" s="251">
        <v>35</v>
      </c>
      <c r="K172" s="321">
        <v>83</v>
      </c>
      <c r="L172" s="320">
        <v>46</v>
      </c>
      <c r="M172" s="390"/>
      <c r="N172" s="390"/>
      <c r="O172" s="253">
        <f t="shared" si="61"/>
        <v>228</v>
      </c>
      <c r="P172" s="251">
        <f t="shared" si="62"/>
        <v>110</v>
      </c>
      <c r="Q172" s="321">
        <v>20</v>
      </c>
      <c r="R172" s="345">
        <v>11</v>
      </c>
      <c r="S172" s="344">
        <f>D172+O172</f>
        <v>636</v>
      </c>
      <c r="T172" s="251">
        <f>E172+P172</f>
        <v>314</v>
      </c>
      <c r="U172" s="253">
        <f>Sek_1!AC157+Sek_2!Q172</f>
        <v>79</v>
      </c>
      <c r="V172" s="251">
        <f>Sek_1!AD157+Sek_2!R172</f>
        <v>49</v>
      </c>
    </row>
    <row r="173" spans="1:22" ht="15.6" x14ac:dyDescent="0.25">
      <c r="A173" s="251">
        <v>4</v>
      </c>
      <c r="B173" s="251" t="s">
        <v>131</v>
      </c>
      <c r="C173" s="260" t="s">
        <v>14</v>
      </c>
      <c r="D173" s="253">
        <f>Sek_1!AA158</f>
        <v>548</v>
      </c>
      <c r="E173" s="251">
        <f>Sek_1!AB158</f>
        <v>224</v>
      </c>
      <c r="F173" s="254">
        <f>Sek_1!AE158</f>
        <v>20</v>
      </c>
      <c r="G173" s="343">
        <v>119</v>
      </c>
      <c r="H173" s="251">
        <v>48</v>
      </c>
      <c r="I173" s="253">
        <v>83</v>
      </c>
      <c r="J173" s="251">
        <v>38</v>
      </c>
      <c r="K173" s="253">
        <v>118</v>
      </c>
      <c r="L173" s="251">
        <v>52</v>
      </c>
      <c r="M173" s="390"/>
      <c r="N173" s="390"/>
      <c r="O173" s="253">
        <f t="shared" si="61"/>
        <v>320</v>
      </c>
      <c r="P173" s="251">
        <f t="shared" si="62"/>
        <v>138</v>
      </c>
      <c r="Q173" s="253">
        <v>26</v>
      </c>
      <c r="R173" s="254">
        <v>16</v>
      </c>
      <c r="S173" s="344">
        <f>D173+O173</f>
        <v>868</v>
      </c>
      <c r="T173" s="251">
        <f>E173+P173</f>
        <v>362</v>
      </c>
      <c r="U173" s="253">
        <f>Sek_1!AC158+Sek_2!Q173</f>
        <v>86</v>
      </c>
      <c r="V173" s="251">
        <f>Sek_1!AD158+Sek_2!R173</f>
        <v>51</v>
      </c>
    </row>
    <row r="174" spans="1:22" ht="15.6" x14ac:dyDescent="0.25">
      <c r="A174" s="251">
        <v>5</v>
      </c>
      <c r="B174" s="251" t="s">
        <v>131</v>
      </c>
      <c r="C174" s="260" t="s">
        <v>15</v>
      </c>
      <c r="D174" s="253">
        <f>Sek_1!AA159</f>
        <v>513</v>
      </c>
      <c r="E174" s="251">
        <f>Sek_1!AB159</f>
        <v>255</v>
      </c>
      <c r="F174" s="254">
        <f>Sek_1!AE159</f>
        <v>20</v>
      </c>
      <c r="G174" s="343">
        <v>120</v>
      </c>
      <c r="H174" s="251">
        <v>65</v>
      </c>
      <c r="I174" s="253">
        <v>101</v>
      </c>
      <c r="J174" s="251">
        <v>53</v>
      </c>
      <c r="K174" s="253">
        <v>111</v>
      </c>
      <c r="L174" s="251">
        <v>59</v>
      </c>
      <c r="M174" s="390"/>
      <c r="N174" s="390"/>
      <c r="O174" s="253">
        <f t="shared" si="61"/>
        <v>332</v>
      </c>
      <c r="P174" s="251">
        <f t="shared" si="62"/>
        <v>177</v>
      </c>
      <c r="Q174" s="253">
        <v>11</v>
      </c>
      <c r="R174" s="254">
        <v>7</v>
      </c>
      <c r="S174" s="344">
        <f>D174+O174</f>
        <v>845</v>
      </c>
      <c r="T174" s="251">
        <f>E174+P174</f>
        <v>432</v>
      </c>
      <c r="U174" s="253">
        <f>Sek_1!AC159+Sek_2!Q174</f>
        <v>53</v>
      </c>
      <c r="V174" s="251">
        <f>Sek_1!AD159+Sek_2!R174</f>
        <v>28</v>
      </c>
    </row>
    <row r="175" spans="1:22" ht="15.6" x14ac:dyDescent="0.25">
      <c r="A175" s="251">
        <v>6</v>
      </c>
      <c r="B175" s="251" t="s">
        <v>131</v>
      </c>
      <c r="C175" s="252" t="s">
        <v>16</v>
      </c>
      <c r="D175" s="253">
        <f>Sek_1!AA160</f>
        <v>448</v>
      </c>
      <c r="E175" s="251">
        <f>Sek_1!AB160</f>
        <v>219</v>
      </c>
      <c r="F175" s="254">
        <f>Sek_1!AE160</f>
        <v>17</v>
      </c>
      <c r="G175" s="343">
        <v>69</v>
      </c>
      <c r="H175" s="251">
        <v>36</v>
      </c>
      <c r="I175" s="253">
        <v>56</v>
      </c>
      <c r="J175" s="251">
        <v>22</v>
      </c>
      <c r="K175" s="253">
        <v>77</v>
      </c>
      <c r="L175" s="251">
        <v>40</v>
      </c>
      <c r="M175" s="390"/>
      <c r="N175" s="390"/>
      <c r="O175" s="253">
        <f t="shared" si="61"/>
        <v>202</v>
      </c>
      <c r="P175" s="251">
        <f t="shared" si="62"/>
        <v>98</v>
      </c>
      <c r="Q175" s="253">
        <v>9</v>
      </c>
      <c r="R175" s="254">
        <v>6</v>
      </c>
      <c r="S175" s="344">
        <f>D175+O175</f>
        <v>650</v>
      </c>
      <c r="T175" s="251">
        <f>E175+P175</f>
        <v>317</v>
      </c>
      <c r="U175" s="253">
        <f>Sek_1!AC160+Sek_2!Q175</f>
        <v>15</v>
      </c>
      <c r="V175" s="251">
        <f>Sek_1!AD160+Sek_2!R175</f>
        <v>9</v>
      </c>
    </row>
    <row r="176" spans="1:22" ht="30" x14ac:dyDescent="0.25">
      <c r="A176" s="251">
        <v>7</v>
      </c>
      <c r="B176" s="251" t="s">
        <v>131</v>
      </c>
      <c r="C176" s="252" t="s">
        <v>17</v>
      </c>
      <c r="D176" s="253">
        <f>Sek_1!AA161</f>
        <v>301</v>
      </c>
      <c r="E176" s="251">
        <f>Sek_1!AB161</f>
        <v>141</v>
      </c>
      <c r="F176" s="254">
        <f>Sek_1!AE161</f>
        <v>12</v>
      </c>
      <c r="G176" s="358">
        <v>51</v>
      </c>
      <c r="H176" s="357">
        <v>27</v>
      </c>
      <c r="I176" s="355">
        <v>66</v>
      </c>
      <c r="J176" s="357">
        <v>26</v>
      </c>
      <c r="K176" s="355">
        <v>48</v>
      </c>
      <c r="L176" s="357">
        <v>15</v>
      </c>
      <c r="M176" s="390"/>
      <c r="N176" s="390"/>
      <c r="O176" s="253">
        <f>G176+I176+K176+M176</f>
        <v>165</v>
      </c>
      <c r="P176" s="251">
        <f>H176+J176+L176+N176</f>
        <v>68</v>
      </c>
      <c r="Q176" s="355">
        <v>9</v>
      </c>
      <c r="R176" s="359">
        <v>4</v>
      </c>
      <c r="S176" s="344">
        <f>D176+O176</f>
        <v>466</v>
      </c>
      <c r="T176" s="251">
        <f>E176+P176</f>
        <v>209</v>
      </c>
      <c r="U176" s="253">
        <f>Sek_1!AC161+Sek_2!Q176</f>
        <v>47</v>
      </c>
      <c r="V176" s="251">
        <f>Sek_1!AD161+Sek_2!R176</f>
        <v>27</v>
      </c>
    </row>
    <row r="177" spans="1:22" ht="15.6" x14ac:dyDescent="0.25">
      <c r="A177" s="251">
        <v>8</v>
      </c>
      <c r="B177" s="251" t="s">
        <v>131</v>
      </c>
      <c r="C177" s="260" t="s">
        <v>18</v>
      </c>
      <c r="D177" s="253">
        <f>Sek_1!AA162</f>
        <v>508</v>
      </c>
      <c r="E177" s="251">
        <f>Sek_1!AB162</f>
        <v>237</v>
      </c>
      <c r="F177" s="254">
        <f>Sek_1!AE162</f>
        <v>20</v>
      </c>
      <c r="G177" s="343">
        <v>99</v>
      </c>
      <c r="H177" s="251">
        <v>49</v>
      </c>
      <c r="I177" s="253">
        <v>106</v>
      </c>
      <c r="J177" s="251">
        <v>53</v>
      </c>
      <c r="K177" s="253">
        <v>117</v>
      </c>
      <c r="L177" s="251">
        <v>74</v>
      </c>
      <c r="M177" s="390"/>
      <c r="N177" s="390"/>
      <c r="O177" s="253">
        <f>G177+I177+K177+M177</f>
        <v>322</v>
      </c>
      <c r="P177" s="251">
        <f>H177+J177+L177+N177</f>
        <v>176</v>
      </c>
      <c r="Q177" s="253">
        <v>18</v>
      </c>
      <c r="R177" s="254">
        <v>9</v>
      </c>
      <c r="S177" s="344">
        <f>D177+O177</f>
        <v>830</v>
      </c>
      <c r="T177" s="251">
        <f>E177+P177</f>
        <v>413</v>
      </c>
      <c r="U177" s="253">
        <f>Sek_1!AC162+Sek_2!Q177</f>
        <v>49</v>
      </c>
      <c r="V177" s="251">
        <f>Sek_1!AD162+Sek_2!R177</f>
        <v>25</v>
      </c>
    </row>
    <row r="178" spans="1:22" ht="28.2" x14ac:dyDescent="0.25">
      <c r="A178" s="251">
        <v>9</v>
      </c>
      <c r="B178" s="251" t="s">
        <v>131</v>
      </c>
      <c r="C178" s="252" t="s">
        <v>84</v>
      </c>
      <c r="D178" s="253">
        <f>Sek_1!AA163</f>
        <v>481</v>
      </c>
      <c r="E178" s="251">
        <f>Sek_1!AB163</f>
        <v>205</v>
      </c>
      <c r="F178" s="254">
        <f>Sek_1!AE163</f>
        <v>17</v>
      </c>
      <c r="G178" s="343">
        <v>97</v>
      </c>
      <c r="H178" s="251">
        <v>42</v>
      </c>
      <c r="I178" s="253">
        <v>77</v>
      </c>
      <c r="J178" s="251">
        <v>47</v>
      </c>
      <c r="K178" s="253">
        <v>66</v>
      </c>
      <c r="L178" s="251">
        <v>37</v>
      </c>
      <c r="M178" s="390"/>
      <c r="N178" s="390"/>
      <c r="O178" s="253">
        <f t="shared" ref="O178:O180" si="63">G178+I178+K178+M178</f>
        <v>240</v>
      </c>
      <c r="P178" s="251">
        <f t="shared" ref="P178:P180" si="64">H178+J178+L178+N178</f>
        <v>126</v>
      </c>
      <c r="Q178" s="253">
        <v>8</v>
      </c>
      <c r="R178" s="254">
        <v>5</v>
      </c>
      <c r="S178" s="344">
        <f>D178+O178</f>
        <v>721</v>
      </c>
      <c r="T178" s="251">
        <f>E178+P178</f>
        <v>331</v>
      </c>
      <c r="U178" s="253">
        <f>Sek_1!AC163+Sek_2!Q178</f>
        <v>32</v>
      </c>
      <c r="V178" s="251">
        <f>Sek_1!AD163+Sek_2!R178</f>
        <v>14</v>
      </c>
    </row>
    <row r="179" spans="1:22" ht="15.6" x14ac:dyDescent="0.25">
      <c r="A179" s="251">
        <v>10</v>
      </c>
      <c r="B179" s="251" t="s">
        <v>131</v>
      </c>
      <c r="C179" s="260" t="s">
        <v>20</v>
      </c>
      <c r="D179" s="253">
        <f>Sek_1!AA164</f>
        <v>542</v>
      </c>
      <c r="E179" s="251">
        <f>Sek_1!AB164</f>
        <v>266</v>
      </c>
      <c r="F179" s="254">
        <f>Sek_1!AE164</f>
        <v>20</v>
      </c>
      <c r="G179" s="343">
        <v>122</v>
      </c>
      <c r="H179" s="251">
        <v>55</v>
      </c>
      <c r="I179" s="253">
        <v>104</v>
      </c>
      <c r="J179" s="251">
        <v>51</v>
      </c>
      <c r="K179" s="253">
        <v>76</v>
      </c>
      <c r="L179" s="251">
        <v>48</v>
      </c>
      <c r="M179" s="390"/>
      <c r="N179" s="390"/>
      <c r="O179" s="253">
        <f t="shared" si="63"/>
        <v>302</v>
      </c>
      <c r="P179" s="251">
        <f t="shared" si="64"/>
        <v>154</v>
      </c>
      <c r="Q179" s="253">
        <v>5</v>
      </c>
      <c r="R179" s="254">
        <v>2</v>
      </c>
      <c r="S179" s="344">
        <f>D179+O179</f>
        <v>844</v>
      </c>
      <c r="T179" s="251">
        <f>E179+P179</f>
        <v>420</v>
      </c>
      <c r="U179" s="253">
        <f>Sek_1!AC164+Sek_2!Q179</f>
        <v>18</v>
      </c>
      <c r="V179" s="251">
        <f>Sek_1!AD164+Sek_2!R179</f>
        <v>10</v>
      </c>
    </row>
    <row r="180" spans="1:22" ht="15.6" x14ac:dyDescent="0.25">
      <c r="A180" s="251">
        <v>11</v>
      </c>
      <c r="B180" s="251" t="s">
        <v>131</v>
      </c>
      <c r="C180" s="252" t="s">
        <v>21</v>
      </c>
      <c r="D180" s="253">
        <f>Sek_1!AA165</f>
        <v>601</v>
      </c>
      <c r="E180" s="251">
        <f>Sek_1!AB165</f>
        <v>258</v>
      </c>
      <c r="F180" s="254">
        <f>Sek_1!AE165</f>
        <v>21</v>
      </c>
      <c r="G180" s="343">
        <v>127</v>
      </c>
      <c r="H180" s="251">
        <v>65</v>
      </c>
      <c r="I180" s="253">
        <v>119</v>
      </c>
      <c r="J180" s="251">
        <v>47</v>
      </c>
      <c r="K180" s="253">
        <v>101</v>
      </c>
      <c r="L180" s="251">
        <v>44</v>
      </c>
      <c r="M180" s="390"/>
      <c r="N180" s="390"/>
      <c r="O180" s="253">
        <f t="shared" si="63"/>
        <v>347</v>
      </c>
      <c r="P180" s="251">
        <f t="shared" si="64"/>
        <v>156</v>
      </c>
      <c r="Q180" s="253">
        <v>21</v>
      </c>
      <c r="R180" s="254">
        <v>7</v>
      </c>
      <c r="S180" s="344">
        <f>D180+O180</f>
        <v>948</v>
      </c>
      <c r="T180" s="251">
        <f>E180+P180</f>
        <v>414</v>
      </c>
      <c r="U180" s="253">
        <f>Sek_1!AC165+Sek_2!Q180</f>
        <v>47</v>
      </c>
      <c r="V180" s="251">
        <f>Sek_1!AD165+Sek_2!R180</f>
        <v>22</v>
      </c>
    </row>
    <row r="181" spans="1:22" ht="31.2" x14ac:dyDescent="0.25">
      <c r="A181" s="253"/>
      <c r="B181" s="251" t="s">
        <v>131</v>
      </c>
      <c r="C181" s="319" t="s">
        <v>53</v>
      </c>
      <c r="D181" s="274">
        <f t="shared" ref="D181:F181" si="65">SUM(D170:D180)</f>
        <v>5658</v>
      </c>
      <c r="E181" s="274">
        <f t="shared" si="65"/>
        <v>2648</v>
      </c>
      <c r="F181" s="346">
        <f t="shared" si="65"/>
        <v>211</v>
      </c>
      <c r="G181" s="344">
        <f t="shared" ref="G181:L181" si="66">SUM(G170:G180)</f>
        <v>1132</v>
      </c>
      <c r="H181" s="274">
        <f t="shared" si="66"/>
        <v>556</v>
      </c>
      <c r="I181" s="274">
        <f t="shared" si="66"/>
        <v>1051</v>
      </c>
      <c r="J181" s="274">
        <f t="shared" si="66"/>
        <v>483</v>
      </c>
      <c r="K181" s="274">
        <f t="shared" si="66"/>
        <v>1056</v>
      </c>
      <c r="L181" s="274">
        <f t="shared" si="66"/>
        <v>541</v>
      </c>
      <c r="M181" s="390"/>
      <c r="N181" s="390"/>
      <c r="O181" s="274">
        <f t="shared" ref="O181:V181" si="67">O170+O171+O172+O173+O174+O175+O176+O177+O178+O179+O180</f>
        <v>3239</v>
      </c>
      <c r="P181" s="274">
        <f t="shared" si="67"/>
        <v>1580</v>
      </c>
      <c r="Q181" s="274">
        <f t="shared" si="67"/>
        <v>148</v>
      </c>
      <c r="R181" s="346">
        <f t="shared" si="67"/>
        <v>78</v>
      </c>
      <c r="S181" s="344">
        <f t="shared" si="67"/>
        <v>8897</v>
      </c>
      <c r="T181" s="274">
        <f t="shared" si="67"/>
        <v>4228</v>
      </c>
      <c r="U181" s="274">
        <f t="shared" si="67"/>
        <v>506</v>
      </c>
      <c r="V181" s="274">
        <f t="shared" si="67"/>
        <v>273</v>
      </c>
    </row>
    <row r="182" spans="1:22" ht="15.6" x14ac:dyDescent="0.25">
      <c r="A182" s="83" t="s">
        <v>128</v>
      </c>
    </row>
    <row r="183" spans="1:22" ht="15.6" x14ac:dyDescent="0.25">
      <c r="A183" s="83" t="s">
        <v>133</v>
      </c>
    </row>
  </sheetData>
  <mergeCells count="57">
    <mergeCell ref="M170:N181"/>
    <mergeCell ref="M156:N167"/>
    <mergeCell ref="M128:N139"/>
    <mergeCell ref="O23:P23"/>
    <mergeCell ref="M114:N125"/>
    <mergeCell ref="M100:N111"/>
    <mergeCell ref="M142:N153"/>
    <mergeCell ref="M72:N83"/>
    <mergeCell ref="Q23:R23"/>
    <mergeCell ref="S23:T23"/>
    <mergeCell ref="S57:T57"/>
    <mergeCell ref="Q57:R57"/>
    <mergeCell ref="D57:F57"/>
    <mergeCell ref="D56:F56"/>
    <mergeCell ref="A21:A24"/>
    <mergeCell ref="B21:B24"/>
    <mergeCell ref="C21:C24"/>
    <mergeCell ref="D21:V21"/>
    <mergeCell ref="D22:F22"/>
    <mergeCell ref="G22:R22"/>
    <mergeCell ref="S22:V22"/>
    <mergeCell ref="D23:F23"/>
    <mergeCell ref="G23:H23"/>
    <mergeCell ref="I23:J23"/>
    <mergeCell ref="K23:L23"/>
    <mergeCell ref="M23:N23"/>
    <mergeCell ref="U23:V23"/>
    <mergeCell ref="Q5:R5"/>
    <mergeCell ref="S5:T5"/>
    <mergeCell ref="U5:V5"/>
    <mergeCell ref="A55:A58"/>
    <mergeCell ref="B55:B58"/>
    <mergeCell ref="C55:C58"/>
    <mergeCell ref="D55:V55"/>
    <mergeCell ref="G56:R56"/>
    <mergeCell ref="S56:V56"/>
    <mergeCell ref="G57:H57"/>
    <mergeCell ref="I57:J57"/>
    <mergeCell ref="K57:L57"/>
    <mergeCell ref="M57:N57"/>
    <mergeCell ref="O57:P57"/>
    <mergeCell ref="U57:V57"/>
    <mergeCell ref="G102:H102"/>
    <mergeCell ref="M86:N97"/>
    <mergeCell ref="A3:A6"/>
    <mergeCell ref="B3:B6"/>
    <mergeCell ref="C3:C6"/>
    <mergeCell ref="D3:V3"/>
    <mergeCell ref="D4:F4"/>
    <mergeCell ref="G4:R4"/>
    <mergeCell ref="S4:V4"/>
    <mergeCell ref="D5:F5"/>
    <mergeCell ref="G5:H5"/>
    <mergeCell ref="I5:J5"/>
    <mergeCell ref="K5:L5"/>
    <mergeCell ref="M5:N5"/>
    <mergeCell ref="O5:P5"/>
  </mergeCells>
  <phoneticPr fontId="0" type="noConversion"/>
  <printOptions verticalCentered="1"/>
  <pageMargins left="0.47244094488188981" right="0.19685039370078741" top="1.0629921259842521" bottom="0.31496062992125984" header="0.6692913385826772" footer="0.19685039370078741"/>
  <pageSetup paperSize="9" scale="83" orientation="landscape" horizontalDpi="1200" verticalDpi="1200" r:id="rId1"/>
  <headerFooter alignWithMargins="0">
    <oddHeader>&amp;R&amp;12Amt &amp;"Arial,Fett"für Schule und Weiterbildung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I40" sqref="I40"/>
    </sheetView>
  </sheetViews>
  <sheetFormatPr baseColWidth="10" defaultColWidth="11.44140625" defaultRowHeight="13.8" x14ac:dyDescent="0.25"/>
  <cols>
    <col min="1" max="1" width="4.109375" style="231" customWidth="1"/>
    <col min="2" max="2" width="10.6640625" style="231" hidden="1" customWidth="1"/>
    <col min="3" max="3" width="41.88671875" style="231" customWidth="1"/>
    <col min="4" max="6" width="7.6640625" style="231" customWidth="1"/>
    <col min="7" max="7" width="8.44140625" style="231" customWidth="1"/>
    <col min="8" max="16384" width="11.44140625" style="231"/>
  </cols>
  <sheetData>
    <row r="1" spans="1:7" x14ac:dyDescent="0.25">
      <c r="A1" s="230" t="s">
        <v>121</v>
      </c>
    </row>
    <row r="2" spans="1:7" customFormat="1" x14ac:dyDescent="0.25">
      <c r="A2" s="305" t="s">
        <v>120</v>
      </c>
      <c r="B2" s="231"/>
    </row>
    <row r="4" spans="1:7" s="179" customFormat="1" ht="44.25" customHeight="1" x14ac:dyDescent="0.25">
      <c r="A4" s="401" t="s">
        <v>100</v>
      </c>
      <c r="B4" s="402" t="s">
        <v>0</v>
      </c>
      <c r="C4" s="402" t="s">
        <v>95</v>
      </c>
      <c r="D4" s="401" t="s">
        <v>101</v>
      </c>
      <c r="E4" s="401"/>
      <c r="F4" s="401" t="s">
        <v>102</v>
      </c>
      <c r="G4" s="401"/>
    </row>
    <row r="5" spans="1:7" s="179" customFormat="1" ht="24.75" customHeight="1" x14ac:dyDescent="0.25">
      <c r="A5" s="402"/>
      <c r="B5" s="402"/>
      <c r="C5" s="402"/>
      <c r="D5" s="401"/>
      <c r="E5" s="401"/>
      <c r="F5" s="401"/>
      <c r="G5" s="401"/>
    </row>
    <row r="6" spans="1:7" s="179" customFormat="1" ht="30" customHeight="1" x14ac:dyDescent="0.25">
      <c r="A6" s="402"/>
      <c r="B6" s="402"/>
      <c r="C6" s="402"/>
      <c r="D6" s="306" t="s">
        <v>106</v>
      </c>
      <c r="E6" s="307" t="s">
        <v>107</v>
      </c>
      <c r="F6" s="307" t="s">
        <v>106</v>
      </c>
      <c r="G6" s="307" t="s">
        <v>107</v>
      </c>
    </row>
    <row r="7" spans="1:7" s="192" customFormat="1" ht="18" customHeight="1" x14ac:dyDescent="0.25">
      <c r="A7" s="308">
        <v>1</v>
      </c>
      <c r="B7" s="308">
        <f>A7+1</f>
        <v>2</v>
      </c>
      <c r="C7" s="308">
        <v>2</v>
      </c>
      <c r="D7" s="309">
        <f t="shared" ref="D7:G7" si="0">C7+1</f>
        <v>3</v>
      </c>
      <c r="E7" s="308">
        <f t="shared" si="0"/>
        <v>4</v>
      </c>
      <c r="F7" s="308">
        <f t="shared" si="0"/>
        <v>5</v>
      </c>
      <c r="G7" s="308">
        <f t="shared" si="0"/>
        <v>6</v>
      </c>
    </row>
    <row r="8" spans="1:7" s="179" customFormat="1" ht="30" hidden="1" customHeight="1" x14ac:dyDescent="0.25">
      <c r="A8" s="310">
        <v>1</v>
      </c>
      <c r="B8" s="310" t="s">
        <v>99</v>
      </c>
      <c r="C8" s="311" t="s">
        <v>11</v>
      </c>
      <c r="D8" s="307" t="s">
        <v>108</v>
      </c>
      <c r="E8" s="307"/>
      <c r="F8" s="307"/>
      <c r="G8" s="307" t="s">
        <v>108</v>
      </c>
    </row>
    <row r="9" spans="1:7" s="179" customFormat="1" ht="30" hidden="1" customHeight="1" x14ac:dyDescent="0.25">
      <c r="A9" s="310">
        <v>2</v>
      </c>
      <c r="B9" s="310" t="s">
        <v>99</v>
      </c>
      <c r="C9" s="311" t="s">
        <v>12</v>
      </c>
      <c r="D9" s="307" t="s">
        <v>108</v>
      </c>
      <c r="E9" s="307"/>
      <c r="F9" s="307"/>
      <c r="G9" s="307" t="s">
        <v>108</v>
      </c>
    </row>
    <row r="10" spans="1:7" s="179" customFormat="1" ht="30" hidden="1" customHeight="1" x14ac:dyDescent="0.25">
      <c r="A10" s="310">
        <v>3</v>
      </c>
      <c r="B10" s="310" t="s">
        <v>99</v>
      </c>
      <c r="C10" s="311" t="s">
        <v>13</v>
      </c>
      <c r="D10" s="307" t="s">
        <v>108</v>
      </c>
      <c r="E10" s="307"/>
      <c r="F10" s="307"/>
      <c r="G10" s="307" t="s">
        <v>108</v>
      </c>
    </row>
    <row r="11" spans="1:7" s="179" customFormat="1" ht="30" hidden="1" customHeight="1" x14ac:dyDescent="0.25">
      <c r="A11" s="310">
        <v>4</v>
      </c>
      <c r="B11" s="310" t="s">
        <v>99</v>
      </c>
      <c r="C11" s="312" t="s">
        <v>14</v>
      </c>
      <c r="D11" s="307"/>
      <c r="E11" s="307" t="s">
        <v>108</v>
      </c>
      <c r="F11" s="307" t="s">
        <v>108</v>
      </c>
      <c r="G11" s="307"/>
    </row>
    <row r="12" spans="1:7" s="206" customFormat="1" ht="30" hidden="1" customHeight="1" x14ac:dyDescent="0.25">
      <c r="A12" s="310">
        <v>5</v>
      </c>
      <c r="B12" s="310" t="s">
        <v>99</v>
      </c>
      <c r="C12" s="312" t="s">
        <v>15</v>
      </c>
      <c r="D12" s="313"/>
      <c r="E12" s="313" t="s">
        <v>108</v>
      </c>
      <c r="F12" s="313" t="s">
        <v>108</v>
      </c>
      <c r="G12" s="313"/>
    </row>
    <row r="13" spans="1:7" s="179" customFormat="1" ht="21.75" hidden="1" customHeight="1" x14ac:dyDescent="0.25">
      <c r="A13" s="310">
        <v>6</v>
      </c>
      <c r="B13" s="310" t="s">
        <v>99</v>
      </c>
      <c r="C13" s="311" t="s">
        <v>16</v>
      </c>
      <c r="D13" s="307"/>
      <c r="E13" s="307" t="s">
        <v>108</v>
      </c>
      <c r="F13" s="307"/>
      <c r="G13" s="307" t="s">
        <v>108</v>
      </c>
    </row>
    <row r="14" spans="1:7" s="179" customFormat="1" ht="30" hidden="1" customHeight="1" x14ac:dyDescent="0.25">
      <c r="A14" s="310">
        <v>7</v>
      </c>
      <c r="B14" s="310" t="s">
        <v>99</v>
      </c>
      <c r="C14" s="311" t="s">
        <v>17</v>
      </c>
      <c r="D14" s="307" t="s">
        <v>108</v>
      </c>
      <c r="E14" s="307"/>
      <c r="F14" s="307"/>
      <c r="G14" s="307" t="s">
        <v>108</v>
      </c>
    </row>
    <row r="15" spans="1:7" s="179" customFormat="1" ht="30" hidden="1" customHeight="1" x14ac:dyDescent="0.25">
      <c r="A15" s="310">
        <v>8</v>
      </c>
      <c r="B15" s="310" t="s">
        <v>99</v>
      </c>
      <c r="C15" s="312" t="s">
        <v>18</v>
      </c>
      <c r="D15" s="307"/>
      <c r="E15" s="307" t="s">
        <v>108</v>
      </c>
      <c r="F15" s="307" t="s">
        <v>108</v>
      </c>
      <c r="G15" s="307"/>
    </row>
    <row r="16" spans="1:7" s="179" customFormat="1" ht="30" hidden="1" customHeight="1" x14ac:dyDescent="0.25">
      <c r="A16" s="310">
        <v>9</v>
      </c>
      <c r="B16" s="310" t="s">
        <v>99</v>
      </c>
      <c r="C16" s="311" t="s">
        <v>19</v>
      </c>
      <c r="D16" s="307"/>
      <c r="E16" s="307" t="s">
        <v>108</v>
      </c>
      <c r="F16" s="307"/>
      <c r="G16" s="307" t="s">
        <v>108</v>
      </c>
    </row>
    <row r="17" spans="1:7" s="179" customFormat="1" ht="30" hidden="1" customHeight="1" x14ac:dyDescent="0.25">
      <c r="A17" s="310">
        <v>10</v>
      </c>
      <c r="B17" s="310" t="s">
        <v>99</v>
      </c>
      <c r="C17" s="314" t="s">
        <v>20</v>
      </c>
      <c r="D17" s="307" t="s">
        <v>108</v>
      </c>
      <c r="E17" s="307"/>
      <c r="F17" s="307"/>
      <c r="G17" s="307" t="s">
        <v>108</v>
      </c>
    </row>
    <row r="18" spans="1:7" s="179" customFormat="1" ht="30" hidden="1" customHeight="1" x14ac:dyDescent="0.25">
      <c r="A18" s="310">
        <v>11</v>
      </c>
      <c r="B18" s="310" t="s">
        <v>99</v>
      </c>
      <c r="C18" s="311" t="s">
        <v>21</v>
      </c>
      <c r="D18" s="307"/>
      <c r="E18" s="307" t="s">
        <v>108</v>
      </c>
      <c r="F18" s="307" t="s">
        <v>108</v>
      </c>
      <c r="G18" s="307"/>
    </row>
    <row r="19" spans="1:7" s="217" customFormat="1" ht="30" hidden="1" customHeight="1" thickBot="1" x14ac:dyDescent="0.3">
      <c r="A19" s="315"/>
      <c r="B19" s="315" t="s">
        <v>99</v>
      </c>
      <c r="C19" s="316" t="s">
        <v>53</v>
      </c>
      <c r="D19" s="317">
        <v>5</v>
      </c>
      <c r="E19" s="317">
        <v>6</v>
      </c>
      <c r="F19" s="317">
        <v>4</v>
      </c>
      <c r="G19" s="317">
        <v>7</v>
      </c>
    </row>
    <row r="20" spans="1:7" s="179" customFormat="1" ht="30" hidden="1" customHeight="1" x14ac:dyDescent="0.25">
      <c r="A20" s="310">
        <v>11</v>
      </c>
      <c r="B20" s="310" t="s">
        <v>99</v>
      </c>
      <c r="C20" s="311" t="s">
        <v>31</v>
      </c>
      <c r="D20" s="400"/>
      <c r="E20" s="400"/>
      <c r="F20" s="400"/>
      <c r="G20" s="400"/>
    </row>
    <row r="21" spans="1:7" s="179" customFormat="1" ht="30" hidden="1" customHeight="1" x14ac:dyDescent="0.25">
      <c r="A21" s="310">
        <v>12</v>
      </c>
      <c r="B21" s="310" t="s">
        <v>99</v>
      </c>
      <c r="C21" s="314" t="s">
        <v>32</v>
      </c>
      <c r="D21" s="400"/>
      <c r="E21" s="400"/>
      <c r="F21" s="400"/>
      <c r="G21" s="400"/>
    </row>
    <row r="22" spans="1:7" s="179" customFormat="1" ht="30" hidden="1" customHeight="1" x14ac:dyDescent="0.25">
      <c r="A22" s="310">
        <v>13</v>
      </c>
      <c r="B22" s="310" t="s">
        <v>99</v>
      </c>
      <c r="C22" s="311" t="s">
        <v>33</v>
      </c>
      <c r="D22" s="400"/>
      <c r="E22" s="400"/>
      <c r="F22" s="400"/>
      <c r="G22" s="400"/>
    </row>
    <row r="23" spans="1:7" s="217" customFormat="1" ht="30" hidden="1" customHeight="1" thickBot="1" x14ac:dyDescent="0.3">
      <c r="A23" s="315"/>
      <c r="B23" s="315" t="s">
        <v>99</v>
      </c>
      <c r="C23" s="316" t="s">
        <v>116</v>
      </c>
      <c r="D23" s="400"/>
      <c r="E23" s="400"/>
      <c r="F23" s="400"/>
      <c r="G23" s="400"/>
    </row>
    <row r="24" spans="1:7" s="179" customFormat="1" ht="30" hidden="1" customHeight="1" x14ac:dyDescent="0.25">
      <c r="A24" s="310">
        <v>1</v>
      </c>
      <c r="B24" s="310" t="s">
        <v>117</v>
      </c>
      <c r="C24" s="311" t="s">
        <v>11</v>
      </c>
      <c r="D24" s="307" t="s">
        <v>108</v>
      </c>
      <c r="E24" s="307"/>
      <c r="F24" s="307"/>
      <c r="G24" s="307" t="s">
        <v>108</v>
      </c>
    </row>
    <row r="25" spans="1:7" s="179" customFormat="1" ht="30" hidden="1" customHeight="1" x14ac:dyDescent="0.25">
      <c r="A25" s="310">
        <v>2</v>
      </c>
      <c r="B25" s="310" t="s">
        <v>117</v>
      </c>
      <c r="C25" s="311" t="s">
        <v>12</v>
      </c>
      <c r="D25" s="307" t="s">
        <v>108</v>
      </c>
      <c r="E25" s="307"/>
      <c r="F25" s="307"/>
      <c r="G25" s="307" t="s">
        <v>108</v>
      </c>
    </row>
    <row r="26" spans="1:7" s="179" customFormat="1" ht="30" hidden="1" customHeight="1" x14ac:dyDescent="0.25">
      <c r="A26" s="310">
        <v>3</v>
      </c>
      <c r="B26" s="310" t="s">
        <v>117</v>
      </c>
      <c r="C26" s="311" t="s">
        <v>13</v>
      </c>
      <c r="D26" s="307" t="s">
        <v>108</v>
      </c>
      <c r="E26" s="307"/>
      <c r="F26" s="307"/>
      <c r="G26" s="307" t="s">
        <v>108</v>
      </c>
    </row>
    <row r="27" spans="1:7" s="179" customFormat="1" ht="30" hidden="1" customHeight="1" x14ac:dyDescent="0.25">
      <c r="A27" s="310">
        <v>4</v>
      </c>
      <c r="B27" s="310" t="s">
        <v>117</v>
      </c>
      <c r="C27" s="312" t="s">
        <v>14</v>
      </c>
      <c r="D27" s="307"/>
      <c r="E27" s="307" t="s">
        <v>108</v>
      </c>
      <c r="F27" s="307" t="s">
        <v>108</v>
      </c>
      <c r="G27" s="307"/>
    </row>
    <row r="28" spans="1:7" s="206" customFormat="1" ht="22.5" hidden="1" customHeight="1" x14ac:dyDescent="0.25">
      <c r="A28" s="310">
        <v>5</v>
      </c>
      <c r="B28" s="310" t="s">
        <v>117</v>
      </c>
      <c r="C28" s="312" t="s">
        <v>15</v>
      </c>
      <c r="D28" s="313"/>
      <c r="E28" s="313" t="s">
        <v>108</v>
      </c>
      <c r="F28" s="313" t="s">
        <v>108</v>
      </c>
      <c r="G28" s="313"/>
    </row>
    <row r="29" spans="1:7" s="179" customFormat="1" ht="30" hidden="1" customHeight="1" x14ac:dyDescent="0.25">
      <c r="A29" s="310">
        <v>6</v>
      </c>
      <c r="B29" s="310" t="s">
        <v>117</v>
      </c>
      <c r="C29" s="311" t="s">
        <v>16</v>
      </c>
      <c r="D29" s="307"/>
      <c r="E29" s="307" t="s">
        <v>108</v>
      </c>
      <c r="F29" s="307" t="s">
        <v>108</v>
      </c>
      <c r="G29" s="307"/>
    </row>
    <row r="30" spans="1:7" s="179" customFormat="1" ht="30" hidden="1" customHeight="1" x14ac:dyDescent="0.25">
      <c r="A30" s="310">
        <v>7</v>
      </c>
      <c r="B30" s="310" t="s">
        <v>117</v>
      </c>
      <c r="C30" s="311" t="s">
        <v>17</v>
      </c>
      <c r="D30" s="307" t="s">
        <v>108</v>
      </c>
      <c r="E30" s="307"/>
      <c r="F30" s="307"/>
      <c r="G30" s="307" t="s">
        <v>108</v>
      </c>
    </row>
    <row r="31" spans="1:7" s="179" customFormat="1" ht="30" hidden="1" customHeight="1" x14ac:dyDescent="0.25">
      <c r="A31" s="310">
        <v>8</v>
      </c>
      <c r="B31" s="310" t="s">
        <v>117</v>
      </c>
      <c r="C31" s="312" t="s">
        <v>18</v>
      </c>
      <c r="D31" s="307"/>
      <c r="E31" s="307" t="s">
        <v>108</v>
      </c>
      <c r="F31" s="307" t="s">
        <v>108</v>
      </c>
      <c r="G31" s="307"/>
    </row>
    <row r="32" spans="1:7" s="179" customFormat="1" ht="30" hidden="1" customHeight="1" x14ac:dyDescent="0.25">
      <c r="A32" s="310">
        <v>9</v>
      </c>
      <c r="B32" s="310" t="s">
        <v>117</v>
      </c>
      <c r="C32" s="311" t="s">
        <v>19</v>
      </c>
      <c r="D32" s="307"/>
      <c r="E32" s="307" t="s">
        <v>108</v>
      </c>
      <c r="F32" s="307"/>
      <c r="G32" s="307" t="s">
        <v>108</v>
      </c>
    </row>
    <row r="33" spans="1:7" s="179" customFormat="1" ht="30" hidden="1" customHeight="1" x14ac:dyDescent="0.25">
      <c r="A33" s="310">
        <v>10</v>
      </c>
      <c r="B33" s="310" t="s">
        <v>117</v>
      </c>
      <c r="C33" s="314" t="s">
        <v>20</v>
      </c>
      <c r="D33" s="307" t="s">
        <v>108</v>
      </c>
      <c r="E33" s="307"/>
      <c r="F33" s="307"/>
      <c r="G33" s="307" t="s">
        <v>108</v>
      </c>
    </row>
    <row r="34" spans="1:7" s="179" customFormat="1" ht="30" hidden="1" customHeight="1" x14ac:dyDescent="0.25">
      <c r="A34" s="310">
        <v>11</v>
      </c>
      <c r="B34" s="310" t="s">
        <v>117</v>
      </c>
      <c r="C34" s="311" t="s">
        <v>21</v>
      </c>
      <c r="D34" s="307"/>
      <c r="E34" s="307" t="s">
        <v>108</v>
      </c>
      <c r="F34" s="307" t="s">
        <v>108</v>
      </c>
      <c r="G34" s="307"/>
    </row>
    <row r="35" spans="1:7" s="217" customFormat="1" ht="30" hidden="1" customHeight="1" thickBot="1" x14ac:dyDescent="0.3">
      <c r="A35" s="315"/>
      <c r="B35" s="315" t="s">
        <v>117</v>
      </c>
      <c r="C35" s="316" t="s">
        <v>53</v>
      </c>
      <c r="D35" s="317">
        <v>5</v>
      </c>
      <c r="E35" s="317">
        <v>6</v>
      </c>
      <c r="F35" s="317">
        <v>5</v>
      </c>
      <c r="G35" s="317">
        <v>6</v>
      </c>
    </row>
    <row r="36" spans="1:7" s="179" customFormat="1" ht="30" hidden="1" customHeight="1" x14ac:dyDescent="0.25">
      <c r="A36" s="310">
        <v>12</v>
      </c>
      <c r="B36" s="310" t="s">
        <v>117</v>
      </c>
      <c r="C36" s="311" t="s">
        <v>31</v>
      </c>
      <c r="D36" s="400"/>
      <c r="E36" s="400"/>
      <c r="F36" s="400"/>
      <c r="G36" s="400"/>
    </row>
    <row r="37" spans="1:7" s="179" customFormat="1" ht="30" hidden="1" customHeight="1" x14ac:dyDescent="0.25">
      <c r="A37" s="310">
        <v>13</v>
      </c>
      <c r="B37" s="310" t="s">
        <v>117</v>
      </c>
      <c r="C37" s="314" t="s">
        <v>32</v>
      </c>
      <c r="D37" s="400"/>
      <c r="E37" s="400"/>
      <c r="F37" s="400"/>
      <c r="G37" s="400"/>
    </row>
    <row r="38" spans="1:7" s="179" customFormat="1" ht="30" hidden="1" customHeight="1" x14ac:dyDescent="0.25">
      <c r="A38" s="310">
        <v>14</v>
      </c>
      <c r="B38" s="310" t="s">
        <v>117</v>
      </c>
      <c r="C38" s="311" t="s">
        <v>33</v>
      </c>
      <c r="D38" s="400"/>
      <c r="E38" s="400"/>
      <c r="F38" s="400"/>
      <c r="G38" s="400"/>
    </row>
    <row r="39" spans="1:7" s="217" customFormat="1" ht="30" hidden="1" customHeight="1" thickBot="1" x14ac:dyDescent="0.3">
      <c r="A39" s="315"/>
      <c r="B39" s="315" t="s">
        <v>117</v>
      </c>
      <c r="C39" s="316" t="s">
        <v>116</v>
      </c>
      <c r="D39" s="400"/>
      <c r="E39" s="400"/>
      <c r="F39" s="400"/>
      <c r="G39" s="400"/>
    </row>
    <row r="40" spans="1:7" s="179" customFormat="1" ht="30" customHeight="1" x14ac:dyDescent="0.25">
      <c r="A40" s="310">
        <v>1</v>
      </c>
      <c r="B40" s="310" t="s">
        <v>119</v>
      </c>
      <c r="C40" s="311" t="s">
        <v>11</v>
      </c>
      <c r="D40" s="307" t="s">
        <v>108</v>
      </c>
      <c r="E40" s="307"/>
      <c r="F40" s="307"/>
      <c r="G40" s="307" t="s">
        <v>108</v>
      </c>
    </row>
    <row r="41" spans="1:7" s="179" customFormat="1" ht="30" customHeight="1" x14ac:dyDescent="0.25">
      <c r="A41" s="310">
        <v>2</v>
      </c>
      <c r="B41" s="310" t="s">
        <v>119</v>
      </c>
      <c r="C41" s="311" t="s">
        <v>12</v>
      </c>
      <c r="D41" s="307" t="s">
        <v>108</v>
      </c>
      <c r="E41" s="307"/>
      <c r="F41" s="307"/>
      <c r="G41" s="307" t="s">
        <v>108</v>
      </c>
    </row>
    <row r="42" spans="1:7" s="179" customFormat="1" ht="30" customHeight="1" x14ac:dyDescent="0.25">
      <c r="A42" s="310">
        <v>3</v>
      </c>
      <c r="B42" s="310" t="s">
        <v>119</v>
      </c>
      <c r="C42" s="311" t="s">
        <v>13</v>
      </c>
      <c r="D42" s="307" t="s">
        <v>108</v>
      </c>
      <c r="E42" s="307"/>
      <c r="F42" s="318" t="s">
        <v>108</v>
      </c>
      <c r="G42" s="307"/>
    </row>
    <row r="43" spans="1:7" s="179" customFormat="1" ht="30" customHeight="1" x14ac:dyDescent="0.25">
      <c r="A43" s="310">
        <v>4</v>
      </c>
      <c r="B43" s="310" t="s">
        <v>119</v>
      </c>
      <c r="C43" s="312" t="s">
        <v>14</v>
      </c>
      <c r="D43" s="307"/>
      <c r="E43" s="307" t="s">
        <v>108</v>
      </c>
      <c r="F43" s="307" t="s">
        <v>108</v>
      </c>
      <c r="G43" s="307"/>
    </row>
    <row r="44" spans="1:7" s="206" customFormat="1" ht="30" customHeight="1" x14ac:dyDescent="0.25">
      <c r="A44" s="310">
        <v>5</v>
      </c>
      <c r="B44" s="310" t="s">
        <v>119</v>
      </c>
      <c r="C44" s="312" t="s">
        <v>15</v>
      </c>
      <c r="D44" s="313"/>
      <c r="E44" s="313" t="s">
        <v>108</v>
      </c>
      <c r="F44" s="313" t="s">
        <v>108</v>
      </c>
      <c r="G44" s="313"/>
    </row>
    <row r="45" spans="1:7" s="179" customFormat="1" ht="30" customHeight="1" x14ac:dyDescent="0.25">
      <c r="A45" s="310">
        <v>6</v>
      </c>
      <c r="B45" s="310" t="s">
        <v>119</v>
      </c>
      <c r="C45" s="311" t="s">
        <v>16</v>
      </c>
      <c r="D45" s="307"/>
      <c r="E45" s="307" t="s">
        <v>108</v>
      </c>
      <c r="F45" s="307" t="s">
        <v>108</v>
      </c>
      <c r="G45" s="307"/>
    </row>
    <row r="46" spans="1:7" s="179" customFormat="1" ht="30" customHeight="1" x14ac:dyDescent="0.25">
      <c r="A46" s="310">
        <v>7</v>
      </c>
      <c r="B46" s="310" t="s">
        <v>119</v>
      </c>
      <c r="C46" s="311" t="s">
        <v>17</v>
      </c>
      <c r="D46" s="307" t="s">
        <v>108</v>
      </c>
      <c r="E46" s="307"/>
      <c r="F46" s="318" t="s">
        <v>108</v>
      </c>
      <c r="G46" s="307"/>
    </row>
    <row r="47" spans="1:7" s="179" customFormat="1" ht="30" customHeight="1" x14ac:dyDescent="0.25">
      <c r="A47" s="310">
        <v>8</v>
      </c>
      <c r="B47" s="310" t="s">
        <v>119</v>
      </c>
      <c r="C47" s="312" t="s">
        <v>18</v>
      </c>
      <c r="D47" s="307"/>
      <c r="E47" s="307" t="s">
        <v>108</v>
      </c>
      <c r="F47" s="307" t="s">
        <v>108</v>
      </c>
      <c r="G47" s="307"/>
    </row>
    <row r="48" spans="1:7" s="179" customFormat="1" ht="30" customHeight="1" x14ac:dyDescent="0.25">
      <c r="A48" s="310">
        <v>9</v>
      </c>
      <c r="B48" s="310" t="s">
        <v>119</v>
      </c>
      <c r="C48" s="311" t="s">
        <v>19</v>
      </c>
      <c r="D48" s="307"/>
      <c r="E48" s="307" t="s">
        <v>108</v>
      </c>
      <c r="F48" s="307"/>
      <c r="G48" s="307" t="s">
        <v>108</v>
      </c>
    </row>
    <row r="49" spans="1:7" s="179" customFormat="1" ht="30" customHeight="1" x14ac:dyDescent="0.25">
      <c r="A49" s="310">
        <v>10</v>
      </c>
      <c r="B49" s="310" t="s">
        <v>119</v>
      </c>
      <c r="C49" s="314" t="s">
        <v>20</v>
      </c>
      <c r="D49" s="307" t="s">
        <v>108</v>
      </c>
      <c r="E49" s="307"/>
      <c r="F49" s="307"/>
      <c r="G49" s="307" t="s">
        <v>108</v>
      </c>
    </row>
    <row r="50" spans="1:7" s="179" customFormat="1" ht="30" customHeight="1" x14ac:dyDescent="0.25">
      <c r="A50" s="310">
        <v>11</v>
      </c>
      <c r="B50" s="310" t="s">
        <v>119</v>
      </c>
      <c r="C50" s="311" t="s">
        <v>21</v>
      </c>
      <c r="D50" s="307"/>
      <c r="E50" s="307" t="s">
        <v>108</v>
      </c>
      <c r="F50" s="307" t="s">
        <v>108</v>
      </c>
      <c r="G50" s="307"/>
    </row>
    <row r="51" spans="1:7" s="217" customFormat="1" ht="30" customHeight="1" x14ac:dyDescent="0.25">
      <c r="A51" s="315"/>
      <c r="B51" s="315" t="s">
        <v>119</v>
      </c>
      <c r="C51" s="316" t="s">
        <v>53</v>
      </c>
      <c r="D51" s="317">
        <v>5</v>
      </c>
      <c r="E51" s="317">
        <v>6</v>
      </c>
      <c r="F51" s="317">
        <v>7</v>
      </c>
      <c r="G51" s="317">
        <v>4</v>
      </c>
    </row>
  </sheetData>
  <mergeCells count="7">
    <mergeCell ref="D36:G39"/>
    <mergeCell ref="D20:G23"/>
    <mergeCell ref="A4:A6"/>
    <mergeCell ref="B4:B6"/>
    <mergeCell ref="C4:C6"/>
    <mergeCell ref="D4:E5"/>
    <mergeCell ref="F4:G5"/>
  </mergeCells>
  <pageMargins left="0.7" right="0.7" top="0.55000000000000004" bottom="0.52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ColWidth="11.44140625" defaultRowHeight="13.8" x14ac:dyDescent="0.25"/>
  <cols>
    <col min="1" max="1" width="4.44140625" style="231" customWidth="1"/>
    <col min="2" max="2" width="10.6640625" style="231" bestFit="1" customWidth="1"/>
    <col min="3" max="3" width="41.88671875" style="231" customWidth="1"/>
    <col min="4" max="6" width="7.6640625" style="231" customWidth="1"/>
    <col min="7" max="7" width="8.44140625" style="231" customWidth="1"/>
    <col min="8" max="14" width="5" style="231" customWidth="1"/>
    <col min="15" max="16" width="5" style="231" bestFit="1" customWidth="1"/>
    <col min="17" max="17" width="4.88671875" style="231" customWidth="1"/>
    <col min="18" max="19" width="5" style="231" bestFit="1" customWidth="1"/>
    <col min="20" max="20" width="5" style="231" customWidth="1"/>
    <col min="21" max="21" width="6.33203125" style="231" bestFit="1" customWidth="1"/>
    <col min="22" max="22" width="8.5546875" style="231" bestFit="1" customWidth="1"/>
    <col min="23" max="16384" width="11.44140625" style="231"/>
  </cols>
  <sheetData>
    <row r="1" spans="1:22" x14ac:dyDescent="0.25">
      <c r="A1" s="230" t="s">
        <v>118</v>
      </c>
    </row>
    <row r="2" spans="1:22" ht="14.4" thickBot="1" x14ac:dyDescent="0.3"/>
    <row r="3" spans="1:22" s="179" customFormat="1" ht="44.25" customHeight="1" x14ac:dyDescent="0.25">
      <c r="A3" s="426" t="s">
        <v>100</v>
      </c>
      <c r="B3" s="429" t="s">
        <v>0</v>
      </c>
      <c r="C3" s="432" t="s">
        <v>95</v>
      </c>
      <c r="D3" s="435" t="s">
        <v>101</v>
      </c>
      <c r="E3" s="436"/>
      <c r="F3" s="439" t="s">
        <v>102</v>
      </c>
      <c r="G3" s="436"/>
      <c r="H3" s="420" t="s">
        <v>103</v>
      </c>
      <c r="I3" s="421"/>
      <c r="J3" s="421"/>
      <c r="K3" s="421"/>
      <c r="L3" s="421"/>
      <c r="M3" s="421"/>
      <c r="N3" s="422"/>
      <c r="O3" s="420" t="s">
        <v>115</v>
      </c>
      <c r="P3" s="421"/>
      <c r="Q3" s="421"/>
      <c r="R3" s="421"/>
      <c r="S3" s="421"/>
      <c r="T3" s="421"/>
      <c r="U3" s="422"/>
      <c r="V3" s="417" t="s">
        <v>104</v>
      </c>
    </row>
    <row r="4" spans="1:22" s="179" customFormat="1" ht="24.75" customHeight="1" x14ac:dyDescent="0.25">
      <c r="A4" s="427"/>
      <c r="B4" s="430"/>
      <c r="C4" s="433"/>
      <c r="D4" s="437"/>
      <c r="E4" s="438"/>
      <c r="F4" s="440"/>
      <c r="G4" s="438"/>
      <c r="H4" s="423" t="s">
        <v>105</v>
      </c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5"/>
      <c r="V4" s="418"/>
    </row>
    <row r="5" spans="1:22" s="179" customFormat="1" ht="30" customHeight="1" thickBot="1" x14ac:dyDescent="0.3">
      <c r="A5" s="428"/>
      <c r="B5" s="431"/>
      <c r="C5" s="434"/>
      <c r="D5" s="180" t="s">
        <v>106</v>
      </c>
      <c r="E5" s="181" t="s">
        <v>107</v>
      </c>
      <c r="F5" s="182" t="s">
        <v>106</v>
      </c>
      <c r="G5" s="181" t="s">
        <v>107</v>
      </c>
      <c r="H5" s="210">
        <v>5</v>
      </c>
      <c r="I5" s="208">
        <v>6</v>
      </c>
      <c r="J5" s="208">
        <v>7</v>
      </c>
      <c r="K5" s="208">
        <v>8</v>
      </c>
      <c r="L5" s="209">
        <v>9</v>
      </c>
      <c r="M5" s="209">
        <v>10</v>
      </c>
      <c r="N5" s="181" t="s">
        <v>109</v>
      </c>
      <c r="O5" s="207">
        <v>5</v>
      </c>
      <c r="P5" s="208">
        <v>6</v>
      </c>
      <c r="Q5" s="208">
        <v>7</v>
      </c>
      <c r="R5" s="208">
        <v>8</v>
      </c>
      <c r="S5" s="209">
        <v>9</v>
      </c>
      <c r="T5" s="209">
        <v>10</v>
      </c>
      <c r="U5" s="218" t="s">
        <v>109</v>
      </c>
      <c r="V5" s="419"/>
    </row>
    <row r="6" spans="1:22" s="192" customFormat="1" ht="18.75" customHeight="1" thickBot="1" x14ac:dyDescent="0.3">
      <c r="A6" s="183">
        <v>1</v>
      </c>
      <c r="B6" s="184">
        <f>A6+1</f>
        <v>2</v>
      </c>
      <c r="C6" s="185">
        <v>2</v>
      </c>
      <c r="D6" s="186">
        <f t="shared" ref="D6:G6" si="0">C6+1</f>
        <v>3</v>
      </c>
      <c r="E6" s="184">
        <f t="shared" si="0"/>
        <v>4</v>
      </c>
      <c r="F6" s="187">
        <f t="shared" si="0"/>
        <v>5</v>
      </c>
      <c r="G6" s="184">
        <f t="shared" si="0"/>
        <v>6</v>
      </c>
      <c r="H6" s="189">
        <f t="shared" ref="H6" si="1">G6+1</f>
        <v>7</v>
      </c>
      <c r="I6" s="188">
        <f t="shared" ref="I6" si="2">H6+1</f>
        <v>8</v>
      </c>
      <c r="J6" s="188">
        <f t="shared" ref="J6" si="3">I6+1</f>
        <v>9</v>
      </c>
      <c r="K6" s="188">
        <f t="shared" ref="K6" si="4">J6+1</f>
        <v>10</v>
      </c>
      <c r="L6" s="190">
        <f t="shared" ref="L6" si="5">K6+1</f>
        <v>11</v>
      </c>
      <c r="M6" s="190">
        <v>12</v>
      </c>
      <c r="N6" s="184">
        <v>13</v>
      </c>
      <c r="O6" s="186">
        <v>14</v>
      </c>
      <c r="P6" s="188">
        <v>15</v>
      </c>
      <c r="Q6" s="188">
        <v>16</v>
      </c>
      <c r="R6" s="188">
        <v>17</v>
      </c>
      <c r="S6" s="190">
        <v>18</v>
      </c>
      <c r="T6" s="190">
        <v>19</v>
      </c>
      <c r="U6" s="184">
        <v>20</v>
      </c>
      <c r="V6" s="191">
        <v>21</v>
      </c>
    </row>
    <row r="7" spans="1:22" s="179" customFormat="1" ht="30" customHeight="1" x14ac:dyDescent="0.25">
      <c r="A7" s="232">
        <v>1</v>
      </c>
      <c r="B7" s="233" t="s">
        <v>99</v>
      </c>
      <c r="C7" s="234" t="s">
        <v>11</v>
      </c>
      <c r="D7" s="194" t="s">
        <v>108</v>
      </c>
      <c r="E7" s="195"/>
      <c r="F7" s="196"/>
      <c r="G7" s="195" t="s">
        <v>108</v>
      </c>
      <c r="H7" s="235">
        <f>1+1</f>
        <v>2</v>
      </c>
      <c r="I7" s="236">
        <v>2</v>
      </c>
      <c r="J7" s="236">
        <v>0</v>
      </c>
      <c r="K7" s="236">
        <v>0</v>
      </c>
      <c r="L7" s="237">
        <v>0</v>
      </c>
      <c r="M7" s="412"/>
      <c r="N7" s="238">
        <f>H7+I7+J7+K7+L7</f>
        <v>4</v>
      </c>
      <c r="O7" s="239">
        <v>3</v>
      </c>
      <c r="P7" s="236">
        <v>3</v>
      </c>
      <c r="Q7" s="236">
        <v>5</v>
      </c>
      <c r="R7" s="236">
        <v>5</v>
      </c>
      <c r="S7" s="237">
        <v>5</v>
      </c>
      <c r="T7" s="412"/>
      <c r="U7" s="238">
        <f>O7+P7+Q7+R7+S7</f>
        <v>21</v>
      </c>
      <c r="V7" s="211">
        <f t="shared" ref="V7:V18" si="6">U7+N7</f>
        <v>25</v>
      </c>
    </row>
    <row r="8" spans="1:22" s="179" customFormat="1" ht="30" customHeight="1" x14ac:dyDescent="0.25">
      <c r="A8" s="240">
        <v>2</v>
      </c>
      <c r="B8" s="241" t="s">
        <v>99</v>
      </c>
      <c r="C8" s="242" t="s">
        <v>12</v>
      </c>
      <c r="D8" s="199" t="s">
        <v>108</v>
      </c>
      <c r="E8" s="200"/>
      <c r="F8" s="201"/>
      <c r="G8" s="200" t="s">
        <v>108</v>
      </c>
      <c r="H8" s="220">
        <v>3</v>
      </c>
      <c r="I8" s="221">
        <v>1</v>
      </c>
      <c r="J8" s="221">
        <v>0</v>
      </c>
      <c r="K8" s="221">
        <v>0</v>
      </c>
      <c r="L8" s="222">
        <v>0</v>
      </c>
      <c r="M8" s="413"/>
      <c r="N8" s="223">
        <f t="shared" ref="N8:N18" si="7">H8+I8+J8+K8+L8</f>
        <v>4</v>
      </c>
      <c r="O8" s="224">
        <v>2</v>
      </c>
      <c r="P8" s="221">
        <v>4</v>
      </c>
      <c r="Q8" s="221">
        <v>5</v>
      </c>
      <c r="R8" s="221">
        <v>4</v>
      </c>
      <c r="S8" s="222">
        <v>5</v>
      </c>
      <c r="T8" s="413"/>
      <c r="U8" s="223">
        <f t="shared" ref="U8:U18" si="8">O8+P8+Q8+R8+S8</f>
        <v>20</v>
      </c>
      <c r="V8" s="202">
        <f t="shared" si="6"/>
        <v>24</v>
      </c>
    </row>
    <row r="9" spans="1:22" s="179" customFormat="1" ht="30" customHeight="1" x14ac:dyDescent="0.25">
      <c r="A9" s="240">
        <v>3</v>
      </c>
      <c r="B9" s="241" t="s">
        <v>99</v>
      </c>
      <c r="C9" s="242" t="s">
        <v>13</v>
      </c>
      <c r="D9" s="199" t="s">
        <v>108</v>
      </c>
      <c r="E9" s="200"/>
      <c r="F9" s="201"/>
      <c r="G9" s="200" t="s">
        <v>108</v>
      </c>
      <c r="H9" s="220">
        <v>2</v>
      </c>
      <c r="I9" s="221">
        <v>2</v>
      </c>
      <c r="J9" s="221">
        <v>0</v>
      </c>
      <c r="K9" s="221">
        <v>0</v>
      </c>
      <c r="L9" s="222">
        <v>0</v>
      </c>
      <c r="M9" s="413"/>
      <c r="N9" s="223">
        <f t="shared" si="7"/>
        <v>4</v>
      </c>
      <c r="O9" s="224">
        <v>1</v>
      </c>
      <c r="P9" s="221">
        <v>1</v>
      </c>
      <c r="Q9" s="221">
        <v>3</v>
      </c>
      <c r="R9" s="221">
        <v>3</v>
      </c>
      <c r="S9" s="222">
        <v>3</v>
      </c>
      <c r="T9" s="413"/>
      <c r="U9" s="223">
        <f t="shared" si="8"/>
        <v>11</v>
      </c>
      <c r="V9" s="202">
        <f t="shared" si="6"/>
        <v>15</v>
      </c>
    </row>
    <row r="10" spans="1:22" s="179" customFormat="1" ht="30" customHeight="1" x14ac:dyDescent="0.25">
      <c r="A10" s="240">
        <v>4</v>
      </c>
      <c r="B10" s="241" t="s">
        <v>99</v>
      </c>
      <c r="C10" s="243" t="s">
        <v>14</v>
      </c>
      <c r="D10" s="199"/>
      <c r="E10" s="200" t="s">
        <v>108</v>
      </c>
      <c r="F10" s="201" t="s">
        <v>108</v>
      </c>
      <c r="G10" s="200"/>
      <c r="H10" s="220">
        <v>0</v>
      </c>
      <c r="I10" s="221">
        <v>0</v>
      </c>
      <c r="J10" s="221">
        <v>0</v>
      </c>
      <c r="K10" s="221">
        <v>0</v>
      </c>
      <c r="L10" s="222">
        <v>0</v>
      </c>
      <c r="M10" s="413"/>
      <c r="N10" s="223">
        <f t="shared" si="7"/>
        <v>0</v>
      </c>
      <c r="O10" s="224">
        <v>4</v>
      </c>
      <c r="P10" s="221">
        <v>4</v>
      </c>
      <c r="Q10" s="221">
        <v>4</v>
      </c>
      <c r="R10" s="221">
        <v>4</v>
      </c>
      <c r="S10" s="222">
        <v>4</v>
      </c>
      <c r="T10" s="413"/>
      <c r="U10" s="223">
        <f t="shared" si="8"/>
        <v>20</v>
      </c>
      <c r="V10" s="202">
        <f t="shared" si="6"/>
        <v>20</v>
      </c>
    </row>
    <row r="11" spans="1:22" s="206" customFormat="1" ht="30" customHeight="1" x14ac:dyDescent="0.25">
      <c r="A11" s="240">
        <v>5</v>
      </c>
      <c r="B11" s="241" t="s">
        <v>99</v>
      </c>
      <c r="C11" s="243" t="s">
        <v>15</v>
      </c>
      <c r="D11" s="203"/>
      <c r="E11" s="204" t="s">
        <v>108</v>
      </c>
      <c r="F11" s="205" t="s">
        <v>108</v>
      </c>
      <c r="G11" s="204"/>
      <c r="H11" s="220">
        <v>0</v>
      </c>
      <c r="I11" s="221">
        <v>0</v>
      </c>
      <c r="J11" s="221">
        <v>0</v>
      </c>
      <c r="K11" s="221">
        <v>1</v>
      </c>
      <c r="L11" s="222">
        <v>0</v>
      </c>
      <c r="M11" s="413"/>
      <c r="N11" s="223">
        <f t="shared" si="7"/>
        <v>1</v>
      </c>
      <c r="O11" s="224">
        <v>4</v>
      </c>
      <c r="P11" s="221">
        <v>4</v>
      </c>
      <c r="Q11" s="221">
        <v>5</v>
      </c>
      <c r="R11" s="221">
        <v>4</v>
      </c>
      <c r="S11" s="222">
        <v>5</v>
      </c>
      <c r="T11" s="413"/>
      <c r="U11" s="223">
        <f t="shared" si="8"/>
        <v>22</v>
      </c>
      <c r="V11" s="202">
        <f t="shared" si="6"/>
        <v>23</v>
      </c>
    </row>
    <row r="12" spans="1:22" s="179" customFormat="1" ht="30" customHeight="1" x14ac:dyDescent="0.25">
      <c r="A12" s="240">
        <v>6</v>
      </c>
      <c r="B12" s="241" t="s">
        <v>99</v>
      </c>
      <c r="C12" s="242" t="s">
        <v>16</v>
      </c>
      <c r="D12" s="199"/>
      <c r="E12" s="200" t="s">
        <v>108</v>
      </c>
      <c r="F12" s="201"/>
      <c r="G12" s="200" t="s">
        <v>108</v>
      </c>
      <c r="H12" s="220">
        <v>0</v>
      </c>
      <c r="I12" s="221">
        <v>0</v>
      </c>
      <c r="J12" s="221">
        <v>0</v>
      </c>
      <c r="K12" s="221">
        <v>0</v>
      </c>
      <c r="L12" s="222">
        <v>0</v>
      </c>
      <c r="M12" s="413"/>
      <c r="N12" s="223">
        <f t="shared" si="7"/>
        <v>0</v>
      </c>
      <c r="O12" s="224">
        <v>2</v>
      </c>
      <c r="P12" s="221">
        <v>3</v>
      </c>
      <c r="Q12" s="221">
        <v>4</v>
      </c>
      <c r="R12" s="221">
        <v>4</v>
      </c>
      <c r="S12" s="222">
        <v>4</v>
      </c>
      <c r="T12" s="413"/>
      <c r="U12" s="223">
        <f t="shared" si="8"/>
        <v>17</v>
      </c>
      <c r="V12" s="202">
        <f t="shared" si="6"/>
        <v>17</v>
      </c>
    </row>
    <row r="13" spans="1:22" s="179" customFormat="1" ht="30" customHeight="1" x14ac:dyDescent="0.25">
      <c r="A13" s="240">
        <v>7</v>
      </c>
      <c r="B13" s="241" t="s">
        <v>99</v>
      </c>
      <c r="C13" s="242" t="s">
        <v>17</v>
      </c>
      <c r="D13" s="199" t="s">
        <v>108</v>
      </c>
      <c r="E13" s="200"/>
      <c r="F13" s="201"/>
      <c r="G13" s="200" t="s">
        <v>108</v>
      </c>
      <c r="H13" s="220">
        <v>1</v>
      </c>
      <c r="I13" s="221">
        <v>1</v>
      </c>
      <c r="J13" s="221">
        <v>0</v>
      </c>
      <c r="K13" s="221">
        <v>0</v>
      </c>
      <c r="L13" s="222">
        <v>1</v>
      </c>
      <c r="M13" s="413"/>
      <c r="N13" s="223">
        <f t="shared" si="7"/>
        <v>3</v>
      </c>
      <c r="O13" s="224">
        <v>2</v>
      </c>
      <c r="P13" s="221">
        <v>1</v>
      </c>
      <c r="Q13" s="221">
        <v>2</v>
      </c>
      <c r="R13" s="221">
        <v>2</v>
      </c>
      <c r="S13" s="222">
        <v>2</v>
      </c>
      <c r="T13" s="413"/>
      <c r="U13" s="223">
        <f t="shared" si="8"/>
        <v>9</v>
      </c>
      <c r="V13" s="202">
        <f t="shared" si="6"/>
        <v>12</v>
      </c>
    </row>
    <row r="14" spans="1:22" s="179" customFormat="1" ht="30" customHeight="1" x14ac:dyDescent="0.25">
      <c r="A14" s="240">
        <v>8</v>
      </c>
      <c r="B14" s="241" t="s">
        <v>99</v>
      </c>
      <c r="C14" s="243" t="s">
        <v>18</v>
      </c>
      <c r="D14" s="199"/>
      <c r="E14" s="200" t="s">
        <v>108</v>
      </c>
      <c r="F14" s="201" t="s">
        <v>108</v>
      </c>
      <c r="G14" s="200"/>
      <c r="H14" s="220">
        <v>0</v>
      </c>
      <c r="I14" s="221">
        <v>0</v>
      </c>
      <c r="J14" s="221">
        <v>0</v>
      </c>
      <c r="K14" s="221">
        <v>0</v>
      </c>
      <c r="L14" s="222">
        <v>0</v>
      </c>
      <c r="M14" s="413"/>
      <c r="N14" s="223">
        <f t="shared" si="7"/>
        <v>0</v>
      </c>
      <c r="O14" s="224">
        <v>4</v>
      </c>
      <c r="P14" s="221">
        <v>4</v>
      </c>
      <c r="Q14" s="221">
        <v>4</v>
      </c>
      <c r="R14" s="221">
        <v>3</v>
      </c>
      <c r="S14" s="222">
        <v>5</v>
      </c>
      <c r="T14" s="413"/>
      <c r="U14" s="223">
        <f t="shared" si="8"/>
        <v>20</v>
      </c>
      <c r="V14" s="202">
        <f t="shared" si="6"/>
        <v>20</v>
      </c>
    </row>
    <row r="15" spans="1:22" s="179" customFormat="1" ht="30" customHeight="1" x14ac:dyDescent="0.25">
      <c r="A15" s="240">
        <v>9</v>
      </c>
      <c r="B15" s="241" t="s">
        <v>99</v>
      </c>
      <c r="C15" s="242" t="s">
        <v>19</v>
      </c>
      <c r="D15" s="199"/>
      <c r="E15" s="200" t="s">
        <v>108</v>
      </c>
      <c r="F15" s="201"/>
      <c r="G15" s="200" t="s">
        <v>108</v>
      </c>
      <c r="H15" s="220">
        <v>1</v>
      </c>
      <c r="I15" s="221">
        <v>0</v>
      </c>
      <c r="J15" s="221">
        <v>1</v>
      </c>
      <c r="K15" s="221">
        <v>1</v>
      </c>
      <c r="L15" s="222">
        <v>0</v>
      </c>
      <c r="M15" s="413"/>
      <c r="N15" s="223">
        <f t="shared" si="7"/>
        <v>3</v>
      </c>
      <c r="O15" s="224">
        <v>2</v>
      </c>
      <c r="P15" s="221">
        <v>3</v>
      </c>
      <c r="Q15" s="221">
        <v>2</v>
      </c>
      <c r="R15" s="221">
        <v>3</v>
      </c>
      <c r="S15" s="222">
        <v>3</v>
      </c>
      <c r="T15" s="413"/>
      <c r="U15" s="223">
        <f t="shared" si="8"/>
        <v>13</v>
      </c>
      <c r="V15" s="202">
        <f t="shared" si="6"/>
        <v>16</v>
      </c>
    </row>
    <row r="16" spans="1:22" s="179" customFormat="1" ht="30" customHeight="1" x14ac:dyDescent="0.25">
      <c r="A16" s="240">
        <v>10</v>
      </c>
      <c r="B16" s="241" t="s">
        <v>99</v>
      </c>
      <c r="C16" s="244" t="s">
        <v>20</v>
      </c>
      <c r="D16" s="199" t="s">
        <v>108</v>
      </c>
      <c r="E16" s="200"/>
      <c r="F16" s="201"/>
      <c r="G16" s="200" t="s">
        <v>108</v>
      </c>
      <c r="H16" s="220">
        <v>1</v>
      </c>
      <c r="I16" s="221">
        <v>1</v>
      </c>
      <c r="J16" s="221">
        <v>1</v>
      </c>
      <c r="K16" s="221">
        <v>1</v>
      </c>
      <c r="L16" s="222">
        <v>1</v>
      </c>
      <c r="M16" s="413"/>
      <c r="N16" s="223">
        <f t="shared" si="7"/>
        <v>5</v>
      </c>
      <c r="O16" s="224">
        <v>3</v>
      </c>
      <c r="P16" s="221">
        <v>2</v>
      </c>
      <c r="Q16" s="221">
        <v>3</v>
      </c>
      <c r="R16" s="221">
        <v>3</v>
      </c>
      <c r="S16" s="222">
        <v>3</v>
      </c>
      <c r="T16" s="413"/>
      <c r="U16" s="223">
        <f t="shared" si="8"/>
        <v>14</v>
      </c>
      <c r="V16" s="202">
        <f t="shared" si="6"/>
        <v>19</v>
      </c>
    </row>
    <row r="17" spans="1:22" s="179" customFormat="1" ht="30" customHeight="1" x14ac:dyDescent="0.25">
      <c r="A17" s="245">
        <v>11</v>
      </c>
      <c r="B17" s="241" t="s">
        <v>99</v>
      </c>
      <c r="C17" s="246" t="s">
        <v>21</v>
      </c>
      <c r="D17" s="199"/>
      <c r="E17" s="200" t="s">
        <v>108</v>
      </c>
      <c r="F17" s="201" t="s">
        <v>108</v>
      </c>
      <c r="G17" s="200"/>
      <c r="H17" s="220">
        <v>1</v>
      </c>
      <c r="I17" s="221">
        <v>0</v>
      </c>
      <c r="J17" s="221">
        <v>0</v>
      </c>
      <c r="K17" s="221">
        <v>0</v>
      </c>
      <c r="L17" s="222">
        <v>0</v>
      </c>
      <c r="M17" s="413"/>
      <c r="N17" s="223">
        <f t="shared" si="7"/>
        <v>1</v>
      </c>
      <c r="O17" s="224">
        <v>3</v>
      </c>
      <c r="P17" s="221">
        <v>4</v>
      </c>
      <c r="Q17" s="221">
        <v>4</v>
      </c>
      <c r="R17" s="221">
        <v>4</v>
      </c>
      <c r="S17" s="222">
        <v>4</v>
      </c>
      <c r="T17" s="413"/>
      <c r="U17" s="223">
        <f t="shared" si="8"/>
        <v>19</v>
      </c>
      <c r="V17" s="202">
        <f t="shared" si="6"/>
        <v>20</v>
      </c>
    </row>
    <row r="18" spans="1:22" s="217" customFormat="1" ht="30" customHeight="1" thickBot="1" x14ac:dyDescent="0.3">
      <c r="A18" s="247"/>
      <c r="B18" s="248" t="s">
        <v>99</v>
      </c>
      <c r="C18" s="249" t="s">
        <v>53</v>
      </c>
      <c r="D18" s="213">
        <v>5</v>
      </c>
      <c r="E18" s="214">
        <v>6</v>
      </c>
      <c r="F18" s="215">
        <v>4</v>
      </c>
      <c r="G18" s="214">
        <v>7</v>
      </c>
      <c r="H18" s="225">
        <f>SUM(H7:H17)</f>
        <v>11</v>
      </c>
      <c r="I18" s="226">
        <f>SUM(I7:I17)</f>
        <v>7</v>
      </c>
      <c r="J18" s="226">
        <f>SUM(J7:J17)</f>
        <v>2</v>
      </c>
      <c r="K18" s="226">
        <f>SUM(K7:K17)</f>
        <v>3</v>
      </c>
      <c r="L18" s="227">
        <f>SUM(L7:L17)</f>
        <v>2</v>
      </c>
      <c r="M18" s="414"/>
      <c r="N18" s="228">
        <f t="shared" si="7"/>
        <v>25</v>
      </c>
      <c r="O18" s="229">
        <f>SUM(O7:O17)</f>
        <v>30</v>
      </c>
      <c r="P18" s="226">
        <f t="shared" ref="P18:S18" si="9">SUM(P7:P17)</f>
        <v>33</v>
      </c>
      <c r="Q18" s="226">
        <f t="shared" si="9"/>
        <v>41</v>
      </c>
      <c r="R18" s="226">
        <f t="shared" si="9"/>
        <v>39</v>
      </c>
      <c r="S18" s="227">
        <f t="shared" si="9"/>
        <v>43</v>
      </c>
      <c r="T18" s="414"/>
      <c r="U18" s="228">
        <f t="shared" si="8"/>
        <v>186</v>
      </c>
      <c r="V18" s="216">
        <f t="shared" si="6"/>
        <v>211</v>
      </c>
    </row>
    <row r="19" spans="1:22" s="179" customFormat="1" ht="30" customHeight="1" x14ac:dyDescent="0.25">
      <c r="A19" s="240">
        <v>11</v>
      </c>
      <c r="B19" s="241" t="s">
        <v>99</v>
      </c>
      <c r="C19" s="242" t="s">
        <v>31</v>
      </c>
      <c r="D19" s="403"/>
      <c r="E19" s="404"/>
      <c r="F19" s="404"/>
      <c r="G19" s="405"/>
      <c r="H19" s="220">
        <v>0</v>
      </c>
      <c r="I19" s="221">
        <v>0</v>
      </c>
      <c r="J19" s="221">
        <v>0</v>
      </c>
      <c r="K19" s="221">
        <v>0</v>
      </c>
      <c r="L19" s="222">
        <v>0</v>
      </c>
      <c r="M19" s="412"/>
      <c r="N19" s="223">
        <v>0</v>
      </c>
      <c r="O19" s="224">
        <v>4</v>
      </c>
      <c r="P19" s="221">
        <v>3</v>
      </c>
      <c r="Q19" s="221">
        <v>4</v>
      </c>
      <c r="R19" s="221">
        <v>4</v>
      </c>
      <c r="S19" s="222">
        <v>3</v>
      </c>
      <c r="T19" s="412"/>
      <c r="U19" s="223">
        <v>18</v>
      </c>
      <c r="V19" s="202">
        <f t="shared" ref="V19:V21" si="10">U19+N19</f>
        <v>18</v>
      </c>
    </row>
    <row r="20" spans="1:22" s="179" customFormat="1" ht="30" customHeight="1" x14ac:dyDescent="0.25">
      <c r="A20" s="240">
        <v>12</v>
      </c>
      <c r="B20" s="241" t="s">
        <v>99</v>
      </c>
      <c r="C20" s="244" t="s">
        <v>32</v>
      </c>
      <c r="D20" s="406"/>
      <c r="E20" s="407"/>
      <c r="F20" s="407"/>
      <c r="G20" s="408"/>
      <c r="H20" s="220">
        <v>0</v>
      </c>
      <c r="I20" s="221">
        <v>0</v>
      </c>
      <c r="J20" s="221">
        <v>0</v>
      </c>
      <c r="K20" s="221">
        <v>1</v>
      </c>
      <c r="L20" s="222">
        <v>1</v>
      </c>
      <c r="M20" s="413"/>
      <c r="N20" s="223">
        <v>2</v>
      </c>
      <c r="O20" s="224">
        <v>4</v>
      </c>
      <c r="P20" s="221">
        <v>4</v>
      </c>
      <c r="Q20" s="221">
        <v>5</v>
      </c>
      <c r="R20" s="221">
        <v>3</v>
      </c>
      <c r="S20" s="222">
        <v>3</v>
      </c>
      <c r="T20" s="413"/>
      <c r="U20" s="223">
        <v>19</v>
      </c>
      <c r="V20" s="202">
        <f t="shared" si="10"/>
        <v>21</v>
      </c>
    </row>
    <row r="21" spans="1:22" s="179" customFormat="1" ht="30" customHeight="1" x14ac:dyDescent="0.25">
      <c r="A21" s="245">
        <v>13</v>
      </c>
      <c r="B21" s="241" t="s">
        <v>99</v>
      </c>
      <c r="C21" s="246" t="s">
        <v>33</v>
      </c>
      <c r="D21" s="406"/>
      <c r="E21" s="407"/>
      <c r="F21" s="407"/>
      <c r="G21" s="408"/>
      <c r="H21" s="220">
        <v>0</v>
      </c>
      <c r="I21" s="221">
        <v>0</v>
      </c>
      <c r="J21" s="221">
        <v>0</v>
      </c>
      <c r="K21" s="221">
        <v>0</v>
      </c>
      <c r="L21" s="222">
        <v>0</v>
      </c>
      <c r="M21" s="413"/>
      <c r="N21" s="223">
        <v>0</v>
      </c>
      <c r="O21" s="224">
        <v>4</v>
      </c>
      <c r="P21" s="221">
        <v>4</v>
      </c>
      <c r="Q21" s="221">
        <v>5</v>
      </c>
      <c r="R21" s="221">
        <v>4</v>
      </c>
      <c r="S21" s="222">
        <v>4</v>
      </c>
      <c r="T21" s="413"/>
      <c r="U21" s="223">
        <v>21</v>
      </c>
      <c r="V21" s="202">
        <f t="shared" si="10"/>
        <v>21</v>
      </c>
    </row>
    <row r="22" spans="1:22" s="217" customFormat="1" ht="30" customHeight="1" thickBot="1" x14ac:dyDescent="0.3">
      <c r="A22" s="247"/>
      <c r="B22" s="248" t="s">
        <v>99</v>
      </c>
      <c r="C22" s="249" t="s">
        <v>116</v>
      </c>
      <c r="D22" s="409"/>
      <c r="E22" s="410"/>
      <c r="F22" s="410"/>
      <c r="G22" s="411"/>
      <c r="H22" s="225">
        <f>SUM(H19:H21)</f>
        <v>0</v>
      </c>
      <c r="I22" s="226">
        <f t="shared" ref="I22:V22" si="11">SUM(I19:I21)</f>
        <v>0</v>
      </c>
      <c r="J22" s="226">
        <f t="shared" si="11"/>
        <v>0</v>
      </c>
      <c r="K22" s="226">
        <f t="shared" si="11"/>
        <v>1</v>
      </c>
      <c r="L22" s="227">
        <f t="shared" si="11"/>
        <v>1</v>
      </c>
      <c r="M22" s="414"/>
      <c r="N22" s="228">
        <f t="shared" si="11"/>
        <v>2</v>
      </c>
      <c r="O22" s="229">
        <f t="shared" si="11"/>
        <v>12</v>
      </c>
      <c r="P22" s="226">
        <f t="shared" si="11"/>
        <v>11</v>
      </c>
      <c r="Q22" s="226">
        <f t="shared" si="11"/>
        <v>14</v>
      </c>
      <c r="R22" s="226">
        <f t="shared" si="11"/>
        <v>11</v>
      </c>
      <c r="S22" s="227">
        <f t="shared" si="11"/>
        <v>10</v>
      </c>
      <c r="T22" s="414"/>
      <c r="U22" s="228">
        <f t="shared" si="11"/>
        <v>58</v>
      </c>
      <c r="V22" s="216">
        <f t="shared" si="11"/>
        <v>60</v>
      </c>
    </row>
    <row r="23" spans="1:22" s="179" customFormat="1" ht="30" customHeight="1" x14ac:dyDescent="0.25">
      <c r="A23" s="232">
        <v>1</v>
      </c>
      <c r="B23" s="233" t="s">
        <v>117</v>
      </c>
      <c r="C23" s="234" t="s">
        <v>11</v>
      </c>
      <c r="D23" s="194" t="s">
        <v>108</v>
      </c>
      <c r="E23" s="195"/>
      <c r="F23" s="196"/>
      <c r="G23" s="195" t="s">
        <v>108</v>
      </c>
      <c r="H23" s="235">
        <v>1</v>
      </c>
      <c r="I23" s="236">
        <v>2</v>
      </c>
      <c r="J23" s="236">
        <v>2</v>
      </c>
      <c r="K23" s="236">
        <v>0</v>
      </c>
      <c r="L23" s="237">
        <v>0</v>
      </c>
      <c r="M23" s="412"/>
      <c r="N23" s="238">
        <f>H23+I23+J23+K23+L23</f>
        <v>5</v>
      </c>
      <c r="O23" s="239">
        <v>4</v>
      </c>
      <c r="P23" s="236">
        <v>3</v>
      </c>
      <c r="Q23" s="236">
        <v>3</v>
      </c>
      <c r="R23" s="236">
        <v>5</v>
      </c>
      <c r="S23" s="237">
        <v>5</v>
      </c>
      <c r="T23" s="412"/>
      <c r="U23" s="238">
        <f>O23+P23+Q23+R23+S23</f>
        <v>20</v>
      </c>
      <c r="V23" s="211">
        <f t="shared" ref="V23:V38" si="12">U23+N23</f>
        <v>25</v>
      </c>
    </row>
    <row r="24" spans="1:22" s="179" customFormat="1" ht="30" customHeight="1" x14ac:dyDescent="0.25">
      <c r="A24" s="240">
        <v>2</v>
      </c>
      <c r="B24" s="241" t="s">
        <v>117</v>
      </c>
      <c r="C24" s="242" t="s">
        <v>12</v>
      </c>
      <c r="D24" s="199" t="s">
        <v>108</v>
      </c>
      <c r="E24" s="200"/>
      <c r="F24" s="201"/>
      <c r="G24" s="200" t="s">
        <v>108</v>
      </c>
      <c r="H24" s="220">
        <v>1</v>
      </c>
      <c r="I24" s="221">
        <v>3</v>
      </c>
      <c r="J24" s="221">
        <v>1</v>
      </c>
      <c r="K24" s="221">
        <v>0</v>
      </c>
      <c r="L24" s="222">
        <v>0</v>
      </c>
      <c r="M24" s="415"/>
      <c r="N24" s="223">
        <f t="shared" ref="N24:N38" si="13">H24+I24+J24+K24+L24</f>
        <v>5</v>
      </c>
      <c r="O24" s="224">
        <v>4</v>
      </c>
      <c r="P24" s="221">
        <v>2</v>
      </c>
      <c r="Q24" s="221">
        <v>4</v>
      </c>
      <c r="R24" s="221">
        <v>4</v>
      </c>
      <c r="S24" s="222">
        <v>4</v>
      </c>
      <c r="T24" s="415"/>
      <c r="U24" s="223">
        <f t="shared" ref="U24:U38" si="14">O24+P24+Q24+R24+S24</f>
        <v>18</v>
      </c>
      <c r="V24" s="202">
        <f t="shared" si="12"/>
        <v>23</v>
      </c>
    </row>
    <row r="25" spans="1:22" s="179" customFormat="1" ht="30" customHeight="1" x14ac:dyDescent="0.25">
      <c r="A25" s="240">
        <v>3</v>
      </c>
      <c r="B25" s="241" t="s">
        <v>117</v>
      </c>
      <c r="C25" s="242" t="s">
        <v>13</v>
      </c>
      <c r="D25" s="199" t="s">
        <v>108</v>
      </c>
      <c r="E25" s="200"/>
      <c r="F25" s="201"/>
      <c r="G25" s="200" t="s">
        <v>108</v>
      </c>
      <c r="H25" s="220">
        <v>1</v>
      </c>
      <c r="I25" s="221">
        <v>2</v>
      </c>
      <c r="J25" s="221">
        <v>2</v>
      </c>
      <c r="K25" s="221">
        <v>0</v>
      </c>
      <c r="L25" s="222">
        <v>0</v>
      </c>
      <c r="M25" s="222">
        <v>0</v>
      </c>
      <c r="N25" s="223">
        <f>H25+I25+J25+K25+L25+M25</f>
        <v>5</v>
      </c>
      <c r="O25" s="224">
        <v>3</v>
      </c>
      <c r="P25" s="221">
        <v>1</v>
      </c>
      <c r="Q25" s="221">
        <v>1</v>
      </c>
      <c r="R25" s="221">
        <v>3</v>
      </c>
      <c r="S25" s="222">
        <v>3</v>
      </c>
      <c r="T25" s="222">
        <v>3</v>
      </c>
      <c r="U25" s="223">
        <f>O25+P25+Q25+R25+S25+T25</f>
        <v>14</v>
      </c>
      <c r="V25" s="202">
        <f t="shared" si="12"/>
        <v>19</v>
      </c>
    </row>
    <row r="26" spans="1:22" s="179" customFormat="1" ht="30" customHeight="1" x14ac:dyDescent="0.25">
      <c r="A26" s="240">
        <v>4</v>
      </c>
      <c r="B26" s="241" t="s">
        <v>117</v>
      </c>
      <c r="C26" s="243" t="s">
        <v>14</v>
      </c>
      <c r="D26" s="199"/>
      <c r="E26" s="200" t="s">
        <v>108</v>
      </c>
      <c r="F26" s="201" t="s">
        <v>108</v>
      </c>
      <c r="G26" s="200"/>
      <c r="H26" s="220">
        <v>0</v>
      </c>
      <c r="I26" s="221">
        <v>0</v>
      </c>
      <c r="J26" s="221">
        <v>0</v>
      </c>
      <c r="K26" s="221">
        <v>0</v>
      </c>
      <c r="L26" s="222">
        <v>0</v>
      </c>
      <c r="M26" s="416"/>
      <c r="N26" s="223">
        <f t="shared" si="13"/>
        <v>0</v>
      </c>
      <c r="O26" s="224">
        <v>4</v>
      </c>
      <c r="P26" s="221">
        <v>4</v>
      </c>
      <c r="Q26" s="221">
        <v>4</v>
      </c>
      <c r="R26" s="221">
        <v>4</v>
      </c>
      <c r="S26" s="222">
        <v>4</v>
      </c>
      <c r="T26" s="416"/>
      <c r="U26" s="223">
        <f t="shared" si="14"/>
        <v>20</v>
      </c>
      <c r="V26" s="202">
        <f t="shared" si="12"/>
        <v>20</v>
      </c>
    </row>
    <row r="27" spans="1:22" s="206" customFormat="1" ht="30" customHeight="1" x14ac:dyDescent="0.25">
      <c r="A27" s="240">
        <v>5</v>
      </c>
      <c r="B27" s="241" t="s">
        <v>117</v>
      </c>
      <c r="C27" s="243" t="s">
        <v>15</v>
      </c>
      <c r="D27" s="203"/>
      <c r="E27" s="204" t="s">
        <v>108</v>
      </c>
      <c r="F27" s="205" t="s">
        <v>108</v>
      </c>
      <c r="G27" s="204"/>
      <c r="H27" s="220">
        <v>0</v>
      </c>
      <c r="I27" s="221">
        <v>0</v>
      </c>
      <c r="J27" s="221">
        <v>0</v>
      </c>
      <c r="K27" s="221">
        <v>1</v>
      </c>
      <c r="L27" s="222">
        <v>1</v>
      </c>
      <c r="M27" s="413"/>
      <c r="N27" s="223">
        <f t="shared" si="13"/>
        <v>2</v>
      </c>
      <c r="O27" s="224">
        <v>5</v>
      </c>
      <c r="P27" s="221">
        <v>4</v>
      </c>
      <c r="Q27" s="221">
        <v>4</v>
      </c>
      <c r="R27" s="221">
        <v>4</v>
      </c>
      <c r="S27" s="222">
        <v>4</v>
      </c>
      <c r="T27" s="413"/>
      <c r="U27" s="223">
        <f t="shared" si="14"/>
        <v>21</v>
      </c>
      <c r="V27" s="202">
        <f t="shared" si="12"/>
        <v>23</v>
      </c>
    </row>
    <row r="28" spans="1:22" s="179" customFormat="1" ht="30" customHeight="1" x14ac:dyDescent="0.25">
      <c r="A28" s="240">
        <v>6</v>
      </c>
      <c r="B28" s="241" t="s">
        <v>117</v>
      </c>
      <c r="C28" s="242" t="s">
        <v>16</v>
      </c>
      <c r="D28" s="199"/>
      <c r="E28" s="200" t="s">
        <v>108</v>
      </c>
      <c r="F28" s="201" t="s">
        <v>108</v>
      </c>
      <c r="G28" s="200"/>
      <c r="H28" s="220">
        <v>0</v>
      </c>
      <c r="I28" s="221">
        <v>0</v>
      </c>
      <c r="J28" s="221">
        <v>0</v>
      </c>
      <c r="K28" s="221">
        <v>0</v>
      </c>
      <c r="L28" s="222">
        <v>0</v>
      </c>
      <c r="M28" s="413"/>
      <c r="N28" s="223">
        <f t="shared" si="13"/>
        <v>0</v>
      </c>
      <c r="O28" s="224">
        <v>3</v>
      </c>
      <c r="P28" s="221">
        <v>2</v>
      </c>
      <c r="Q28" s="221">
        <v>3</v>
      </c>
      <c r="R28" s="221">
        <v>4</v>
      </c>
      <c r="S28" s="222">
        <v>4</v>
      </c>
      <c r="T28" s="413"/>
      <c r="U28" s="223">
        <f t="shared" si="14"/>
        <v>16</v>
      </c>
      <c r="V28" s="202">
        <f t="shared" si="12"/>
        <v>16</v>
      </c>
    </row>
    <row r="29" spans="1:22" s="179" customFormat="1" ht="30" customHeight="1" x14ac:dyDescent="0.25">
      <c r="A29" s="240">
        <v>7</v>
      </c>
      <c r="B29" s="241" t="s">
        <v>117</v>
      </c>
      <c r="C29" s="242" t="s">
        <v>17</v>
      </c>
      <c r="D29" s="199" t="s">
        <v>108</v>
      </c>
      <c r="E29" s="200"/>
      <c r="F29" s="201"/>
      <c r="G29" s="200" t="s">
        <v>108</v>
      </c>
      <c r="H29" s="220">
        <v>1</v>
      </c>
      <c r="I29" s="221">
        <v>1</v>
      </c>
      <c r="J29" s="221">
        <v>1</v>
      </c>
      <c r="K29" s="221">
        <v>0</v>
      </c>
      <c r="L29" s="222">
        <v>0</v>
      </c>
      <c r="M29" s="413"/>
      <c r="N29" s="223">
        <f t="shared" si="13"/>
        <v>3</v>
      </c>
      <c r="O29" s="224">
        <v>1</v>
      </c>
      <c r="P29" s="221">
        <v>3</v>
      </c>
      <c r="Q29" s="221">
        <v>1</v>
      </c>
      <c r="R29" s="221">
        <v>2</v>
      </c>
      <c r="S29" s="222">
        <v>2</v>
      </c>
      <c r="T29" s="413"/>
      <c r="U29" s="223">
        <f t="shared" si="14"/>
        <v>9</v>
      </c>
      <c r="V29" s="202">
        <f t="shared" si="12"/>
        <v>12</v>
      </c>
    </row>
    <row r="30" spans="1:22" s="179" customFormat="1" ht="30" customHeight="1" x14ac:dyDescent="0.25">
      <c r="A30" s="240">
        <v>8</v>
      </c>
      <c r="B30" s="241" t="s">
        <v>117</v>
      </c>
      <c r="C30" s="243" t="s">
        <v>18</v>
      </c>
      <c r="D30" s="199"/>
      <c r="E30" s="200" t="s">
        <v>108</v>
      </c>
      <c r="F30" s="201" t="s">
        <v>108</v>
      </c>
      <c r="G30" s="200"/>
      <c r="H30" s="220">
        <v>0</v>
      </c>
      <c r="I30" s="221">
        <v>0</v>
      </c>
      <c r="J30" s="221">
        <v>0</v>
      </c>
      <c r="K30" s="221">
        <v>0</v>
      </c>
      <c r="L30" s="222">
        <v>0</v>
      </c>
      <c r="M30" s="413"/>
      <c r="N30" s="223">
        <f t="shared" si="13"/>
        <v>0</v>
      </c>
      <c r="O30" s="224">
        <v>4</v>
      </c>
      <c r="P30" s="221">
        <v>4</v>
      </c>
      <c r="Q30" s="221">
        <v>4</v>
      </c>
      <c r="R30" s="221">
        <v>4</v>
      </c>
      <c r="S30" s="222">
        <v>3</v>
      </c>
      <c r="T30" s="413"/>
      <c r="U30" s="223">
        <f t="shared" si="14"/>
        <v>19</v>
      </c>
      <c r="V30" s="202">
        <f t="shared" si="12"/>
        <v>19</v>
      </c>
    </row>
    <row r="31" spans="1:22" s="179" customFormat="1" ht="30" customHeight="1" x14ac:dyDescent="0.25">
      <c r="A31" s="240">
        <v>9</v>
      </c>
      <c r="B31" s="241" t="s">
        <v>117</v>
      </c>
      <c r="C31" s="242" t="s">
        <v>19</v>
      </c>
      <c r="D31" s="199"/>
      <c r="E31" s="200" t="s">
        <v>108</v>
      </c>
      <c r="F31" s="201"/>
      <c r="G31" s="200" t="s">
        <v>108</v>
      </c>
      <c r="H31" s="220">
        <v>0</v>
      </c>
      <c r="I31" s="221">
        <v>1</v>
      </c>
      <c r="J31" s="221">
        <v>0</v>
      </c>
      <c r="K31" s="221">
        <v>1</v>
      </c>
      <c r="L31" s="222">
        <v>1</v>
      </c>
      <c r="M31" s="413"/>
      <c r="N31" s="223">
        <f t="shared" si="13"/>
        <v>3</v>
      </c>
      <c r="O31" s="224">
        <v>3</v>
      </c>
      <c r="P31" s="221">
        <v>2</v>
      </c>
      <c r="Q31" s="221">
        <v>3</v>
      </c>
      <c r="R31" s="221">
        <v>2</v>
      </c>
      <c r="S31" s="222">
        <v>3</v>
      </c>
      <c r="T31" s="413"/>
      <c r="U31" s="223">
        <f t="shared" si="14"/>
        <v>13</v>
      </c>
      <c r="V31" s="202">
        <f t="shared" si="12"/>
        <v>16</v>
      </c>
    </row>
    <row r="32" spans="1:22" s="179" customFormat="1" ht="30" customHeight="1" x14ac:dyDescent="0.25">
      <c r="A32" s="240">
        <v>10</v>
      </c>
      <c r="B32" s="241" t="s">
        <v>117</v>
      </c>
      <c r="C32" s="244" t="s">
        <v>20</v>
      </c>
      <c r="D32" s="199" t="s">
        <v>108</v>
      </c>
      <c r="E32" s="200"/>
      <c r="F32" s="201"/>
      <c r="G32" s="200" t="s">
        <v>108</v>
      </c>
      <c r="H32" s="220">
        <v>2</v>
      </c>
      <c r="I32" s="221">
        <v>1</v>
      </c>
      <c r="J32" s="221">
        <v>1</v>
      </c>
      <c r="K32" s="221">
        <v>2</v>
      </c>
      <c r="L32" s="222">
        <v>1</v>
      </c>
      <c r="M32" s="413"/>
      <c r="N32" s="223">
        <f t="shared" si="13"/>
        <v>7</v>
      </c>
      <c r="O32" s="224">
        <v>2</v>
      </c>
      <c r="P32" s="221">
        <v>3</v>
      </c>
      <c r="Q32" s="221">
        <v>2</v>
      </c>
      <c r="R32" s="221">
        <v>2</v>
      </c>
      <c r="S32" s="222">
        <v>3</v>
      </c>
      <c r="T32" s="413"/>
      <c r="U32" s="223">
        <f t="shared" si="14"/>
        <v>12</v>
      </c>
      <c r="V32" s="202">
        <f t="shared" si="12"/>
        <v>19</v>
      </c>
    </row>
    <row r="33" spans="1:22" s="179" customFormat="1" ht="30" customHeight="1" x14ac:dyDescent="0.25">
      <c r="A33" s="245">
        <v>11</v>
      </c>
      <c r="B33" s="241" t="s">
        <v>117</v>
      </c>
      <c r="C33" s="246" t="s">
        <v>21</v>
      </c>
      <c r="D33" s="199"/>
      <c r="E33" s="200" t="s">
        <v>108</v>
      </c>
      <c r="F33" s="201" t="s">
        <v>108</v>
      </c>
      <c r="G33" s="200"/>
      <c r="H33" s="220">
        <v>0</v>
      </c>
      <c r="I33" s="221">
        <v>1</v>
      </c>
      <c r="J33" s="221">
        <v>0</v>
      </c>
      <c r="K33" s="221">
        <v>0</v>
      </c>
      <c r="L33" s="222">
        <v>0</v>
      </c>
      <c r="M33" s="415"/>
      <c r="N33" s="223">
        <f t="shared" si="13"/>
        <v>1</v>
      </c>
      <c r="O33" s="224">
        <v>4</v>
      </c>
      <c r="P33" s="221">
        <v>3</v>
      </c>
      <c r="Q33" s="221">
        <v>4</v>
      </c>
      <c r="R33" s="221">
        <v>4</v>
      </c>
      <c r="S33" s="222">
        <v>4</v>
      </c>
      <c r="T33" s="415"/>
      <c r="U33" s="223">
        <f t="shared" si="14"/>
        <v>19</v>
      </c>
      <c r="V33" s="202">
        <f t="shared" si="12"/>
        <v>20</v>
      </c>
    </row>
    <row r="34" spans="1:22" s="217" customFormat="1" ht="30" customHeight="1" thickBot="1" x14ac:dyDescent="0.3">
      <c r="A34" s="247"/>
      <c r="B34" s="248" t="s">
        <v>117</v>
      </c>
      <c r="C34" s="249" t="s">
        <v>53</v>
      </c>
      <c r="D34" s="213">
        <v>5</v>
      </c>
      <c r="E34" s="214">
        <v>6</v>
      </c>
      <c r="F34" s="215">
        <v>5</v>
      </c>
      <c r="G34" s="214">
        <v>6</v>
      </c>
      <c r="H34" s="225">
        <f t="shared" ref="H34:O34" si="15">SUM(H23:H33)</f>
        <v>6</v>
      </c>
      <c r="I34" s="226">
        <f t="shared" si="15"/>
        <v>11</v>
      </c>
      <c r="J34" s="226">
        <f t="shared" si="15"/>
        <v>7</v>
      </c>
      <c r="K34" s="226">
        <f t="shared" si="15"/>
        <v>4</v>
      </c>
      <c r="L34" s="227">
        <f t="shared" si="15"/>
        <v>3</v>
      </c>
      <c r="M34" s="227">
        <f t="shared" si="15"/>
        <v>0</v>
      </c>
      <c r="N34" s="228">
        <f t="shared" si="15"/>
        <v>31</v>
      </c>
      <c r="O34" s="229">
        <f t="shared" si="15"/>
        <v>37</v>
      </c>
      <c r="P34" s="226">
        <f t="shared" ref="P34:T34" si="16">SUM(P23:P33)</f>
        <v>31</v>
      </c>
      <c r="Q34" s="226">
        <f t="shared" si="16"/>
        <v>33</v>
      </c>
      <c r="R34" s="226">
        <f t="shared" si="16"/>
        <v>38</v>
      </c>
      <c r="S34" s="227">
        <f t="shared" si="16"/>
        <v>39</v>
      </c>
      <c r="T34" s="227">
        <f t="shared" si="16"/>
        <v>3</v>
      </c>
      <c r="U34" s="228">
        <f>SUM(U23:U33)</f>
        <v>181</v>
      </c>
      <c r="V34" s="250">
        <f>SUM(V23:V33)</f>
        <v>212</v>
      </c>
    </row>
    <row r="35" spans="1:22" s="179" customFormat="1" ht="30" customHeight="1" x14ac:dyDescent="0.25">
      <c r="A35" s="240">
        <v>12</v>
      </c>
      <c r="B35" s="241" t="s">
        <v>117</v>
      </c>
      <c r="C35" s="242" t="s">
        <v>31</v>
      </c>
      <c r="D35" s="403"/>
      <c r="E35" s="404"/>
      <c r="F35" s="404"/>
      <c r="G35" s="405"/>
      <c r="H35" s="220">
        <v>0</v>
      </c>
      <c r="I35" s="221">
        <v>0</v>
      </c>
      <c r="J35" s="221">
        <v>0</v>
      </c>
      <c r="K35" s="221">
        <v>0</v>
      </c>
      <c r="L35" s="222">
        <v>0</v>
      </c>
      <c r="M35" s="412"/>
      <c r="N35" s="223">
        <f t="shared" si="13"/>
        <v>0</v>
      </c>
      <c r="O35" s="224">
        <v>4</v>
      </c>
      <c r="P35" s="221">
        <v>4</v>
      </c>
      <c r="Q35" s="221">
        <v>3</v>
      </c>
      <c r="R35" s="221">
        <v>4</v>
      </c>
      <c r="S35" s="222">
        <v>4</v>
      </c>
      <c r="T35" s="412"/>
      <c r="U35" s="223">
        <f t="shared" si="14"/>
        <v>19</v>
      </c>
      <c r="V35" s="202">
        <f t="shared" si="12"/>
        <v>19</v>
      </c>
    </row>
    <row r="36" spans="1:22" s="179" customFormat="1" ht="30" customHeight="1" x14ac:dyDescent="0.25">
      <c r="A36" s="240">
        <v>13</v>
      </c>
      <c r="B36" s="241" t="s">
        <v>117</v>
      </c>
      <c r="C36" s="244" t="s">
        <v>32</v>
      </c>
      <c r="D36" s="406"/>
      <c r="E36" s="407"/>
      <c r="F36" s="407"/>
      <c r="G36" s="408"/>
      <c r="H36" s="220">
        <v>0</v>
      </c>
      <c r="I36" s="221">
        <v>0</v>
      </c>
      <c r="J36" s="221">
        <v>0</v>
      </c>
      <c r="K36" s="221">
        <v>0</v>
      </c>
      <c r="L36" s="222">
        <v>1</v>
      </c>
      <c r="M36" s="413"/>
      <c r="N36" s="223">
        <f t="shared" si="13"/>
        <v>1</v>
      </c>
      <c r="O36" s="224">
        <v>4</v>
      </c>
      <c r="P36" s="221">
        <v>4</v>
      </c>
      <c r="Q36" s="221">
        <v>4</v>
      </c>
      <c r="R36" s="221">
        <v>5</v>
      </c>
      <c r="S36" s="222">
        <v>3</v>
      </c>
      <c r="T36" s="413"/>
      <c r="U36" s="223">
        <f t="shared" si="14"/>
        <v>20</v>
      </c>
      <c r="V36" s="202">
        <f t="shared" si="12"/>
        <v>21</v>
      </c>
    </row>
    <row r="37" spans="1:22" s="179" customFormat="1" ht="30" customHeight="1" x14ac:dyDescent="0.25">
      <c r="A37" s="245">
        <v>14</v>
      </c>
      <c r="B37" s="241" t="s">
        <v>117</v>
      </c>
      <c r="C37" s="246" t="s">
        <v>33</v>
      </c>
      <c r="D37" s="406"/>
      <c r="E37" s="407"/>
      <c r="F37" s="407"/>
      <c r="G37" s="408"/>
      <c r="H37" s="220">
        <v>0</v>
      </c>
      <c r="I37" s="221">
        <v>0</v>
      </c>
      <c r="J37" s="221">
        <v>0</v>
      </c>
      <c r="K37" s="221">
        <v>0</v>
      </c>
      <c r="L37" s="222">
        <v>0</v>
      </c>
      <c r="M37" s="413"/>
      <c r="N37" s="223">
        <f t="shared" si="13"/>
        <v>0</v>
      </c>
      <c r="O37" s="224">
        <v>4</v>
      </c>
      <c r="P37" s="221">
        <v>4</v>
      </c>
      <c r="Q37" s="221">
        <v>4</v>
      </c>
      <c r="R37" s="221">
        <v>5</v>
      </c>
      <c r="S37" s="222">
        <v>4</v>
      </c>
      <c r="T37" s="413"/>
      <c r="U37" s="223">
        <f t="shared" si="14"/>
        <v>21</v>
      </c>
      <c r="V37" s="202">
        <f t="shared" si="12"/>
        <v>21</v>
      </c>
    </row>
    <row r="38" spans="1:22" s="217" customFormat="1" ht="30" customHeight="1" thickBot="1" x14ac:dyDescent="0.3">
      <c r="A38" s="247"/>
      <c r="B38" s="248" t="s">
        <v>117</v>
      </c>
      <c r="C38" s="249" t="s">
        <v>116</v>
      </c>
      <c r="D38" s="409"/>
      <c r="E38" s="410"/>
      <c r="F38" s="410"/>
      <c r="G38" s="411"/>
      <c r="H38" s="225">
        <f>SUM(H35:H37)</f>
        <v>0</v>
      </c>
      <c r="I38" s="226">
        <f t="shared" ref="I38:S38" si="17">SUM(I35:I37)</f>
        <v>0</v>
      </c>
      <c r="J38" s="226">
        <f t="shared" si="17"/>
        <v>0</v>
      </c>
      <c r="K38" s="226">
        <f t="shared" si="17"/>
        <v>0</v>
      </c>
      <c r="L38" s="227">
        <f t="shared" si="17"/>
        <v>1</v>
      </c>
      <c r="M38" s="414"/>
      <c r="N38" s="228">
        <f t="shared" si="13"/>
        <v>1</v>
      </c>
      <c r="O38" s="229">
        <f t="shared" si="17"/>
        <v>12</v>
      </c>
      <c r="P38" s="226">
        <f t="shared" si="17"/>
        <v>12</v>
      </c>
      <c r="Q38" s="226">
        <f t="shared" si="17"/>
        <v>11</v>
      </c>
      <c r="R38" s="226">
        <f t="shared" si="17"/>
        <v>14</v>
      </c>
      <c r="S38" s="227">
        <f t="shared" si="17"/>
        <v>11</v>
      </c>
      <c r="T38" s="414"/>
      <c r="U38" s="228">
        <f t="shared" si="14"/>
        <v>60</v>
      </c>
      <c r="V38" s="216">
        <f t="shared" si="12"/>
        <v>61</v>
      </c>
    </row>
    <row r="39" spans="1:22" s="179" customFormat="1" ht="30" customHeight="1" x14ac:dyDescent="0.25">
      <c r="A39" s="232">
        <v>1</v>
      </c>
      <c r="B39" s="233" t="s">
        <v>119</v>
      </c>
      <c r="C39" s="234" t="s">
        <v>11</v>
      </c>
      <c r="D39" s="194" t="s">
        <v>108</v>
      </c>
      <c r="E39" s="195"/>
      <c r="F39" s="196"/>
      <c r="G39" s="195" t="s">
        <v>108</v>
      </c>
      <c r="H39" s="235">
        <v>0</v>
      </c>
      <c r="I39" s="236">
        <v>0</v>
      </c>
      <c r="J39" s="236">
        <v>0</v>
      </c>
      <c r="K39" s="236">
        <v>0</v>
      </c>
      <c r="L39" s="237">
        <v>0</v>
      </c>
      <c r="M39" s="412"/>
      <c r="N39" s="238">
        <f>H39+I39+J39+K39+L39</f>
        <v>0</v>
      </c>
      <c r="O39" s="239">
        <v>0</v>
      </c>
      <c r="P39" s="236">
        <v>0</v>
      </c>
      <c r="Q39" s="236">
        <v>0</v>
      </c>
      <c r="R39" s="236">
        <v>0</v>
      </c>
      <c r="S39" s="237">
        <v>0</v>
      </c>
      <c r="T39" s="412"/>
      <c r="U39" s="238">
        <f>O39+P39+Q39+R39+S39</f>
        <v>0</v>
      </c>
      <c r="V39" s="211">
        <f t="shared" ref="V39:V49" si="18">U39+N39</f>
        <v>0</v>
      </c>
    </row>
    <row r="40" spans="1:22" s="179" customFormat="1" ht="30" customHeight="1" x14ac:dyDescent="0.25">
      <c r="A40" s="240">
        <v>2</v>
      </c>
      <c r="B40" s="241" t="s">
        <v>119</v>
      </c>
      <c r="C40" s="242" t="s">
        <v>12</v>
      </c>
      <c r="D40" s="199" t="s">
        <v>108</v>
      </c>
      <c r="E40" s="200"/>
      <c r="F40" s="201"/>
      <c r="G40" s="200" t="s">
        <v>108</v>
      </c>
      <c r="H40" s="220">
        <v>0</v>
      </c>
      <c r="I40" s="221">
        <v>0</v>
      </c>
      <c r="J40" s="221">
        <v>0</v>
      </c>
      <c r="K40" s="221">
        <v>0</v>
      </c>
      <c r="L40" s="222">
        <v>0</v>
      </c>
      <c r="M40" s="415"/>
      <c r="N40" s="223">
        <f t="shared" ref="N40" si="19">H40+I40+J40+K40+L40</f>
        <v>0</v>
      </c>
      <c r="O40" s="224">
        <v>0</v>
      </c>
      <c r="P40" s="221">
        <v>0</v>
      </c>
      <c r="Q40" s="221">
        <v>0</v>
      </c>
      <c r="R40" s="221">
        <v>0</v>
      </c>
      <c r="S40" s="222">
        <v>0</v>
      </c>
      <c r="T40" s="415"/>
      <c r="U40" s="223">
        <f t="shared" ref="U40" si="20">O40+P40+Q40+R40+S40</f>
        <v>0</v>
      </c>
      <c r="V40" s="202">
        <f t="shared" si="18"/>
        <v>0</v>
      </c>
    </row>
    <row r="41" spans="1:22" s="179" customFormat="1" ht="30" customHeight="1" x14ac:dyDescent="0.25">
      <c r="A41" s="240">
        <v>3</v>
      </c>
      <c r="B41" s="241" t="s">
        <v>119</v>
      </c>
      <c r="C41" s="242" t="s">
        <v>13</v>
      </c>
      <c r="D41" s="199" t="s">
        <v>108</v>
      </c>
      <c r="E41" s="200"/>
      <c r="F41" s="201"/>
      <c r="G41" s="200" t="s">
        <v>108</v>
      </c>
      <c r="H41" s="220">
        <v>0</v>
      </c>
      <c r="I41" s="221">
        <v>0</v>
      </c>
      <c r="J41" s="221">
        <v>0</v>
      </c>
      <c r="K41" s="221">
        <v>0</v>
      </c>
      <c r="L41" s="222">
        <v>0</v>
      </c>
      <c r="M41" s="222">
        <v>0</v>
      </c>
      <c r="N41" s="223">
        <f>H41+I41+J41+K41+L41+M41</f>
        <v>0</v>
      </c>
      <c r="O41" s="224">
        <v>0</v>
      </c>
      <c r="P41" s="221">
        <v>0</v>
      </c>
      <c r="Q41" s="221">
        <v>0</v>
      </c>
      <c r="R41" s="221">
        <v>0</v>
      </c>
      <c r="S41" s="222">
        <v>0</v>
      </c>
      <c r="T41" s="222">
        <v>0</v>
      </c>
      <c r="U41" s="223">
        <f>O41+P41+Q41+R41+S41+T41</f>
        <v>0</v>
      </c>
      <c r="V41" s="202">
        <f t="shared" si="18"/>
        <v>0</v>
      </c>
    </row>
    <row r="42" spans="1:22" s="179" customFormat="1" ht="30" customHeight="1" x14ac:dyDescent="0.25">
      <c r="A42" s="240">
        <v>4</v>
      </c>
      <c r="B42" s="241" t="s">
        <v>119</v>
      </c>
      <c r="C42" s="243" t="s">
        <v>14</v>
      </c>
      <c r="D42" s="199"/>
      <c r="E42" s="200" t="s">
        <v>108</v>
      </c>
      <c r="F42" s="201" t="s">
        <v>108</v>
      </c>
      <c r="G42" s="200"/>
      <c r="H42" s="220">
        <v>0</v>
      </c>
      <c r="I42" s="221">
        <v>0</v>
      </c>
      <c r="J42" s="221">
        <v>0</v>
      </c>
      <c r="K42" s="221">
        <v>0</v>
      </c>
      <c r="L42" s="222">
        <v>0</v>
      </c>
      <c r="M42" s="416"/>
      <c r="N42" s="223">
        <f t="shared" ref="N42:N49" si="21">H42+I42+J42+K42+L42</f>
        <v>0</v>
      </c>
      <c r="O42" s="224">
        <v>0</v>
      </c>
      <c r="P42" s="221">
        <v>0</v>
      </c>
      <c r="Q42" s="221">
        <v>0</v>
      </c>
      <c r="R42" s="221">
        <v>0</v>
      </c>
      <c r="S42" s="222">
        <v>0</v>
      </c>
      <c r="T42" s="416"/>
      <c r="U42" s="223">
        <f t="shared" ref="U42:U49" si="22">O42+P42+Q42+R42+S42</f>
        <v>0</v>
      </c>
      <c r="V42" s="202">
        <f t="shared" si="18"/>
        <v>0</v>
      </c>
    </row>
    <row r="43" spans="1:22" s="206" customFormat="1" ht="30" customHeight="1" x14ac:dyDescent="0.25">
      <c r="A43" s="240">
        <v>5</v>
      </c>
      <c r="B43" s="241" t="s">
        <v>119</v>
      </c>
      <c r="C43" s="243" t="s">
        <v>15</v>
      </c>
      <c r="D43" s="203"/>
      <c r="E43" s="204" t="s">
        <v>108</v>
      </c>
      <c r="F43" s="205" t="s">
        <v>108</v>
      </c>
      <c r="G43" s="204"/>
      <c r="H43" s="220">
        <v>0</v>
      </c>
      <c r="I43" s="221">
        <v>0</v>
      </c>
      <c r="J43" s="221">
        <v>0</v>
      </c>
      <c r="K43" s="221">
        <v>0</v>
      </c>
      <c r="L43" s="222">
        <v>0</v>
      </c>
      <c r="M43" s="413"/>
      <c r="N43" s="223">
        <f t="shared" si="21"/>
        <v>0</v>
      </c>
      <c r="O43" s="224">
        <v>0</v>
      </c>
      <c r="P43" s="221">
        <v>0</v>
      </c>
      <c r="Q43" s="221">
        <v>0</v>
      </c>
      <c r="R43" s="221">
        <v>0</v>
      </c>
      <c r="S43" s="222">
        <v>0</v>
      </c>
      <c r="T43" s="413"/>
      <c r="U43" s="223">
        <f t="shared" si="22"/>
        <v>0</v>
      </c>
      <c r="V43" s="202">
        <f t="shared" si="18"/>
        <v>0</v>
      </c>
    </row>
    <row r="44" spans="1:22" s="179" customFormat="1" ht="30" customHeight="1" x14ac:dyDescent="0.25">
      <c r="A44" s="240">
        <v>6</v>
      </c>
      <c r="B44" s="241" t="s">
        <v>119</v>
      </c>
      <c r="C44" s="242" t="s">
        <v>16</v>
      </c>
      <c r="D44" s="199"/>
      <c r="E44" s="200" t="s">
        <v>108</v>
      </c>
      <c r="F44" s="201" t="s">
        <v>108</v>
      </c>
      <c r="G44" s="200"/>
      <c r="H44" s="220">
        <v>0</v>
      </c>
      <c r="I44" s="221">
        <v>0</v>
      </c>
      <c r="J44" s="221">
        <v>0</v>
      </c>
      <c r="K44" s="221">
        <v>0</v>
      </c>
      <c r="L44" s="222">
        <v>0</v>
      </c>
      <c r="M44" s="413"/>
      <c r="N44" s="223">
        <f t="shared" si="21"/>
        <v>0</v>
      </c>
      <c r="O44" s="224">
        <v>0</v>
      </c>
      <c r="P44" s="221">
        <v>0</v>
      </c>
      <c r="Q44" s="221">
        <v>0</v>
      </c>
      <c r="R44" s="221">
        <v>0</v>
      </c>
      <c r="S44" s="222">
        <v>0</v>
      </c>
      <c r="T44" s="413"/>
      <c r="U44" s="223">
        <f t="shared" si="22"/>
        <v>0</v>
      </c>
      <c r="V44" s="202">
        <f t="shared" si="18"/>
        <v>0</v>
      </c>
    </row>
    <row r="45" spans="1:22" s="179" customFormat="1" ht="30" customHeight="1" x14ac:dyDescent="0.25">
      <c r="A45" s="240">
        <v>7</v>
      </c>
      <c r="B45" s="241" t="s">
        <v>119</v>
      </c>
      <c r="C45" s="242" t="s">
        <v>17</v>
      </c>
      <c r="D45" s="199" t="s">
        <v>108</v>
      </c>
      <c r="E45" s="200"/>
      <c r="F45" s="201"/>
      <c r="G45" s="200" t="s">
        <v>108</v>
      </c>
      <c r="H45" s="220">
        <v>0</v>
      </c>
      <c r="I45" s="221">
        <v>0</v>
      </c>
      <c r="J45" s="221">
        <v>0</v>
      </c>
      <c r="K45" s="221">
        <v>0</v>
      </c>
      <c r="L45" s="222">
        <v>0</v>
      </c>
      <c r="M45" s="413"/>
      <c r="N45" s="223">
        <f t="shared" si="21"/>
        <v>0</v>
      </c>
      <c r="O45" s="224">
        <v>0</v>
      </c>
      <c r="P45" s="221">
        <v>0</v>
      </c>
      <c r="Q45" s="221">
        <v>0</v>
      </c>
      <c r="R45" s="221">
        <v>0</v>
      </c>
      <c r="S45" s="222">
        <v>0</v>
      </c>
      <c r="T45" s="413"/>
      <c r="U45" s="223">
        <f t="shared" si="22"/>
        <v>0</v>
      </c>
      <c r="V45" s="202">
        <f t="shared" si="18"/>
        <v>0</v>
      </c>
    </row>
    <row r="46" spans="1:22" s="179" customFormat="1" ht="30" customHeight="1" x14ac:dyDescent="0.25">
      <c r="A46" s="240">
        <v>8</v>
      </c>
      <c r="B46" s="241" t="s">
        <v>119</v>
      </c>
      <c r="C46" s="243" t="s">
        <v>18</v>
      </c>
      <c r="D46" s="199"/>
      <c r="E46" s="200" t="s">
        <v>108</v>
      </c>
      <c r="F46" s="201" t="s">
        <v>108</v>
      </c>
      <c r="G46" s="200"/>
      <c r="H46" s="220">
        <v>0</v>
      </c>
      <c r="I46" s="221">
        <v>0</v>
      </c>
      <c r="J46" s="221">
        <v>0</v>
      </c>
      <c r="K46" s="221">
        <v>0</v>
      </c>
      <c r="L46" s="222">
        <v>0</v>
      </c>
      <c r="M46" s="413"/>
      <c r="N46" s="223">
        <f t="shared" si="21"/>
        <v>0</v>
      </c>
      <c r="O46" s="224">
        <v>0</v>
      </c>
      <c r="P46" s="221">
        <v>0</v>
      </c>
      <c r="Q46" s="221">
        <v>0</v>
      </c>
      <c r="R46" s="221">
        <v>0</v>
      </c>
      <c r="S46" s="222">
        <v>0</v>
      </c>
      <c r="T46" s="413"/>
      <c r="U46" s="223">
        <f t="shared" si="22"/>
        <v>0</v>
      </c>
      <c r="V46" s="202">
        <f t="shared" si="18"/>
        <v>0</v>
      </c>
    </row>
    <row r="47" spans="1:22" s="179" customFormat="1" ht="30" customHeight="1" x14ac:dyDescent="0.25">
      <c r="A47" s="240">
        <v>9</v>
      </c>
      <c r="B47" s="241" t="s">
        <v>119</v>
      </c>
      <c r="C47" s="242" t="s">
        <v>19</v>
      </c>
      <c r="D47" s="199"/>
      <c r="E47" s="200" t="s">
        <v>108</v>
      </c>
      <c r="F47" s="201"/>
      <c r="G47" s="200" t="s">
        <v>108</v>
      </c>
      <c r="H47" s="220">
        <v>0</v>
      </c>
      <c r="I47" s="221">
        <v>0</v>
      </c>
      <c r="J47" s="221">
        <v>0</v>
      </c>
      <c r="K47" s="221">
        <v>0</v>
      </c>
      <c r="L47" s="222">
        <v>0</v>
      </c>
      <c r="M47" s="413"/>
      <c r="N47" s="223">
        <f t="shared" si="21"/>
        <v>0</v>
      </c>
      <c r="O47" s="224">
        <v>0</v>
      </c>
      <c r="P47" s="221">
        <v>0</v>
      </c>
      <c r="Q47" s="221">
        <v>0</v>
      </c>
      <c r="R47" s="221">
        <v>0</v>
      </c>
      <c r="S47" s="222">
        <v>0</v>
      </c>
      <c r="T47" s="413"/>
      <c r="U47" s="223">
        <f t="shared" si="22"/>
        <v>0</v>
      </c>
      <c r="V47" s="202">
        <f t="shared" si="18"/>
        <v>0</v>
      </c>
    </row>
    <row r="48" spans="1:22" s="179" customFormat="1" ht="30" customHeight="1" x14ac:dyDescent="0.25">
      <c r="A48" s="240">
        <v>10</v>
      </c>
      <c r="B48" s="241" t="s">
        <v>119</v>
      </c>
      <c r="C48" s="244" t="s">
        <v>20</v>
      </c>
      <c r="D48" s="199" t="s">
        <v>108</v>
      </c>
      <c r="E48" s="200"/>
      <c r="F48" s="201"/>
      <c r="G48" s="200" t="s">
        <v>108</v>
      </c>
      <c r="H48" s="220">
        <v>0</v>
      </c>
      <c r="I48" s="221">
        <v>0</v>
      </c>
      <c r="J48" s="221">
        <v>0</v>
      </c>
      <c r="K48" s="221">
        <v>0</v>
      </c>
      <c r="L48" s="222">
        <v>0</v>
      </c>
      <c r="M48" s="413"/>
      <c r="N48" s="223">
        <f t="shared" si="21"/>
        <v>0</v>
      </c>
      <c r="O48" s="224">
        <v>0</v>
      </c>
      <c r="P48" s="221">
        <v>0</v>
      </c>
      <c r="Q48" s="221">
        <v>0</v>
      </c>
      <c r="R48" s="221">
        <v>0</v>
      </c>
      <c r="S48" s="222">
        <v>0</v>
      </c>
      <c r="T48" s="413"/>
      <c r="U48" s="223">
        <f t="shared" si="22"/>
        <v>0</v>
      </c>
      <c r="V48" s="202">
        <f t="shared" si="18"/>
        <v>0</v>
      </c>
    </row>
    <row r="49" spans="1:22" s="179" customFormat="1" ht="30" customHeight="1" x14ac:dyDescent="0.25">
      <c r="A49" s="245">
        <v>11</v>
      </c>
      <c r="B49" s="241" t="s">
        <v>119</v>
      </c>
      <c r="C49" s="246" t="s">
        <v>21</v>
      </c>
      <c r="D49" s="199"/>
      <c r="E49" s="200" t="s">
        <v>108</v>
      </c>
      <c r="F49" s="201" t="s">
        <v>108</v>
      </c>
      <c r="G49" s="200"/>
      <c r="H49" s="220">
        <v>0</v>
      </c>
      <c r="I49" s="221">
        <v>0</v>
      </c>
      <c r="J49" s="221">
        <v>0</v>
      </c>
      <c r="K49" s="221">
        <v>0</v>
      </c>
      <c r="L49" s="222">
        <v>0</v>
      </c>
      <c r="M49" s="415"/>
      <c r="N49" s="223">
        <f t="shared" si="21"/>
        <v>0</v>
      </c>
      <c r="O49" s="224">
        <v>0</v>
      </c>
      <c r="P49" s="221">
        <v>0</v>
      </c>
      <c r="Q49" s="221">
        <v>0</v>
      </c>
      <c r="R49" s="221">
        <v>0</v>
      </c>
      <c r="S49" s="222">
        <v>0</v>
      </c>
      <c r="T49" s="415"/>
      <c r="U49" s="223">
        <f t="shared" si="22"/>
        <v>0</v>
      </c>
      <c r="V49" s="202">
        <f t="shared" si="18"/>
        <v>0</v>
      </c>
    </row>
    <row r="50" spans="1:22" s="217" customFormat="1" ht="30" customHeight="1" thickBot="1" x14ac:dyDescent="0.3">
      <c r="A50" s="247"/>
      <c r="B50" s="248" t="s">
        <v>119</v>
      </c>
      <c r="C50" s="249" t="s">
        <v>53</v>
      </c>
      <c r="D50" s="213">
        <v>5</v>
      </c>
      <c r="E50" s="214">
        <v>6</v>
      </c>
      <c r="F50" s="215">
        <v>5</v>
      </c>
      <c r="G50" s="214">
        <v>6</v>
      </c>
      <c r="H50" s="225">
        <f t="shared" ref="H50:O50" si="23">SUM(H39:H49)</f>
        <v>0</v>
      </c>
      <c r="I50" s="226">
        <f t="shared" si="23"/>
        <v>0</v>
      </c>
      <c r="J50" s="226">
        <f t="shared" si="23"/>
        <v>0</v>
      </c>
      <c r="K50" s="226">
        <f t="shared" si="23"/>
        <v>0</v>
      </c>
      <c r="L50" s="227">
        <f t="shared" si="23"/>
        <v>0</v>
      </c>
      <c r="M50" s="227">
        <f t="shared" si="23"/>
        <v>0</v>
      </c>
      <c r="N50" s="228">
        <f t="shared" si="23"/>
        <v>0</v>
      </c>
      <c r="O50" s="229">
        <f t="shared" si="23"/>
        <v>0</v>
      </c>
      <c r="P50" s="226">
        <f t="shared" ref="P50:T50" si="24">SUM(P39:P49)</f>
        <v>0</v>
      </c>
      <c r="Q50" s="226">
        <f t="shared" si="24"/>
        <v>0</v>
      </c>
      <c r="R50" s="226">
        <f t="shared" si="24"/>
        <v>0</v>
      </c>
      <c r="S50" s="227">
        <f t="shared" si="24"/>
        <v>0</v>
      </c>
      <c r="T50" s="227">
        <f t="shared" si="24"/>
        <v>0</v>
      </c>
      <c r="U50" s="228">
        <f>SUM(U39:U49)</f>
        <v>0</v>
      </c>
      <c r="V50" s="250">
        <f>SUM(V39:V49)</f>
        <v>0</v>
      </c>
    </row>
    <row r="51" spans="1:22" s="179" customFormat="1" ht="30" customHeight="1" x14ac:dyDescent="0.25">
      <c r="A51" s="240">
        <v>12</v>
      </c>
      <c r="B51" s="241" t="s">
        <v>119</v>
      </c>
      <c r="C51" s="242" t="s">
        <v>31</v>
      </c>
      <c r="D51" s="403"/>
      <c r="E51" s="404"/>
      <c r="F51" s="404"/>
      <c r="G51" s="405"/>
      <c r="H51" s="220">
        <v>0</v>
      </c>
      <c r="I51" s="221">
        <v>0</v>
      </c>
      <c r="J51" s="221">
        <v>0</v>
      </c>
      <c r="K51" s="221">
        <v>0</v>
      </c>
      <c r="L51" s="222">
        <v>0</v>
      </c>
      <c r="M51" s="412"/>
      <c r="N51" s="223">
        <f t="shared" ref="N51:N54" si="25">H51+I51+J51+K51+L51</f>
        <v>0</v>
      </c>
      <c r="O51" s="224">
        <v>0</v>
      </c>
      <c r="P51" s="221">
        <v>0</v>
      </c>
      <c r="Q51" s="221">
        <v>0</v>
      </c>
      <c r="R51" s="221">
        <v>0</v>
      </c>
      <c r="S51" s="222">
        <v>0</v>
      </c>
      <c r="T51" s="412"/>
      <c r="U51" s="223">
        <f t="shared" ref="U51:U54" si="26">O51+P51+Q51+R51+S51</f>
        <v>0</v>
      </c>
      <c r="V51" s="202">
        <f t="shared" ref="V51:V54" si="27">U51+N51</f>
        <v>0</v>
      </c>
    </row>
    <row r="52" spans="1:22" s="179" customFormat="1" ht="30" customHeight="1" x14ac:dyDescent="0.25">
      <c r="A52" s="240">
        <v>13</v>
      </c>
      <c r="B52" s="241" t="s">
        <v>119</v>
      </c>
      <c r="C52" s="244" t="s">
        <v>32</v>
      </c>
      <c r="D52" s="406"/>
      <c r="E52" s="407"/>
      <c r="F52" s="407"/>
      <c r="G52" s="408"/>
      <c r="H52" s="220">
        <v>0</v>
      </c>
      <c r="I52" s="221">
        <v>0</v>
      </c>
      <c r="J52" s="221">
        <v>0</v>
      </c>
      <c r="K52" s="221">
        <v>0</v>
      </c>
      <c r="L52" s="222">
        <v>0</v>
      </c>
      <c r="M52" s="413"/>
      <c r="N52" s="223">
        <f t="shared" si="25"/>
        <v>0</v>
      </c>
      <c r="O52" s="224">
        <v>0</v>
      </c>
      <c r="P52" s="221">
        <v>0</v>
      </c>
      <c r="Q52" s="221">
        <v>0</v>
      </c>
      <c r="R52" s="221">
        <v>0</v>
      </c>
      <c r="S52" s="222">
        <v>0</v>
      </c>
      <c r="T52" s="413"/>
      <c r="U52" s="223">
        <f t="shared" si="26"/>
        <v>0</v>
      </c>
      <c r="V52" s="202">
        <f t="shared" si="27"/>
        <v>0</v>
      </c>
    </row>
    <row r="53" spans="1:22" s="179" customFormat="1" ht="30" customHeight="1" x14ac:dyDescent="0.25">
      <c r="A53" s="245">
        <v>14</v>
      </c>
      <c r="B53" s="241" t="s">
        <v>119</v>
      </c>
      <c r="C53" s="246" t="s">
        <v>33</v>
      </c>
      <c r="D53" s="406"/>
      <c r="E53" s="407"/>
      <c r="F53" s="407"/>
      <c r="G53" s="408"/>
      <c r="H53" s="220">
        <v>0</v>
      </c>
      <c r="I53" s="221">
        <v>0</v>
      </c>
      <c r="J53" s="221">
        <v>0</v>
      </c>
      <c r="K53" s="221">
        <v>0</v>
      </c>
      <c r="L53" s="222">
        <v>0</v>
      </c>
      <c r="M53" s="413"/>
      <c r="N53" s="223">
        <f t="shared" si="25"/>
        <v>0</v>
      </c>
      <c r="O53" s="224">
        <v>0</v>
      </c>
      <c r="P53" s="221">
        <v>0</v>
      </c>
      <c r="Q53" s="221">
        <v>0</v>
      </c>
      <c r="R53" s="221">
        <v>0</v>
      </c>
      <c r="S53" s="222">
        <v>0</v>
      </c>
      <c r="T53" s="413"/>
      <c r="U53" s="223">
        <f t="shared" si="26"/>
        <v>0</v>
      </c>
      <c r="V53" s="202">
        <f t="shared" si="27"/>
        <v>0</v>
      </c>
    </row>
    <row r="54" spans="1:22" s="217" customFormat="1" ht="30" customHeight="1" thickBot="1" x14ac:dyDescent="0.3">
      <c r="A54" s="247"/>
      <c r="B54" s="248" t="s">
        <v>119</v>
      </c>
      <c r="C54" s="249" t="s">
        <v>116</v>
      </c>
      <c r="D54" s="409"/>
      <c r="E54" s="410"/>
      <c r="F54" s="410"/>
      <c r="G54" s="411"/>
      <c r="H54" s="225">
        <f>SUM(H51:H53)</f>
        <v>0</v>
      </c>
      <c r="I54" s="226">
        <f t="shared" ref="I54:L54" si="28">SUM(I51:I53)</f>
        <v>0</v>
      </c>
      <c r="J54" s="226">
        <f t="shared" si="28"/>
        <v>0</v>
      </c>
      <c r="K54" s="226">
        <f t="shared" si="28"/>
        <v>0</v>
      </c>
      <c r="L54" s="227">
        <f t="shared" si="28"/>
        <v>0</v>
      </c>
      <c r="M54" s="414"/>
      <c r="N54" s="228">
        <f t="shared" si="25"/>
        <v>0</v>
      </c>
      <c r="O54" s="229">
        <f t="shared" ref="O54:S54" si="29">SUM(O51:O53)</f>
        <v>0</v>
      </c>
      <c r="P54" s="226">
        <f t="shared" si="29"/>
        <v>0</v>
      </c>
      <c r="Q54" s="226">
        <f t="shared" si="29"/>
        <v>0</v>
      </c>
      <c r="R54" s="226">
        <f t="shared" si="29"/>
        <v>0</v>
      </c>
      <c r="S54" s="227">
        <f t="shared" si="29"/>
        <v>0</v>
      </c>
      <c r="T54" s="414"/>
      <c r="U54" s="228">
        <f t="shared" si="26"/>
        <v>0</v>
      </c>
      <c r="V54" s="216">
        <f t="shared" si="27"/>
        <v>0</v>
      </c>
    </row>
  </sheetData>
  <mergeCells count="28">
    <mergeCell ref="T7:T18"/>
    <mergeCell ref="M7:M18"/>
    <mergeCell ref="T35:T38"/>
    <mergeCell ref="M35:M38"/>
    <mergeCell ref="T26:T33"/>
    <mergeCell ref="M26:M33"/>
    <mergeCell ref="T23:T24"/>
    <mergeCell ref="M23:M24"/>
    <mergeCell ref="V3:V5"/>
    <mergeCell ref="O3:U3"/>
    <mergeCell ref="H3:N3"/>
    <mergeCell ref="H4:U4"/>
    <mergeCell ref="A3:A5"/>
    <mergeCell ref="B3:B5"/>
    <mergeCell ref="C3:C5"/>
    <mergeCell ref="D3:E4"/>
    <mergeCell ref="F3:G4"/>
    <mergeCell ref="D51:G54"/>
    <mergeCell ref="M51:M54"/>
    <mergeCell ref="T51:T54"/>
    <mergeCell ref="D35:G38"/>
    <mergeCell ref="D19:G22"/>
    <mergeCell ref="M39:M40"/>
    <mergeCell ref="T39:T40"/>
    <mergeCell ref="M42:M49"/>
    <mergeCell ref="T42:T49"/>
    <mergeCell ref="T19:T22"/>
    <mergeCell ref="M19:M22"/>
  </mergeCells>
  <pageMargins left="0.51181102362204722" right="0.23622047244094491" top="0.6692913385826772" bottom="0.35433070866141736" header="0.43307086614173229" footer="0.15748031496062992"/>
  <pageSetup paperSize="9" scale="84" orientation="landscape" r:id="rId1"/>
  <headerFooter>
    <oddHeader>&amp;R&amp;12Amt &amp;"Arial,Fett"für Schule und Weiterbildung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54"/>
  <sheetViews>
    <sheetView workbookViewId="0">
      <pane xSplit="2" ySplit="9" topLeftCell="AM10" activePane="bottomRight" state="frozen"/>
      <selection activeCell="K1" sqref="K1"/>
      <selection pane="topRight" activeCell="K1" sqref="K1"/>
      <selection pane="bottomLeft" activeCell="K1" sqref="K1"/>
      <selection pane="bottomRight" activeCell="BV7" sqref="BV7"/>
    </sheetView>
  </sheetViews>
  <sheetFormatPr baseColWidth="10" defaultColWidth="11.44140625" defaultRowHeight="13.2" x14ac:dyDescent="0.25"/>
  <cols>
    <col min="1" max="1" width="3.6640625" style="3" customWidth="1"/>
    <col min="2" max="2" width="21.33203125" style="4" customWidth="1"/>
    <col min="3" max="3" width="6.6640625" style="3" customWidth="1"/>
    <col min="4" max="4" width="6.5546875" style="3" customWidth="1"/>
    <col min="5" max="5" width="5.5546875" style="3" bestFit="1" customWidth="1"/>
    <col min="6" max="6" width="6.5546875" style="3" customWidth="1"/>
    <col min="7" max="7" width="6.44140625" style="3" customWidth="1"/>
    <col min="8" max="8" width="6.6640625" style="3" hidden="1" customWidth="1"/>
    <col min="9" max="12" width="6.5546875" style="3" hidden="1" customWidth="1"/>
    <col min="13" max="13" width="0.44140625" style="3" hidden="1" customWidth="1"/>
    <col min="14" max="17" width="6.5546875" style="3" hidden="1" customWidth="1"/>
    <col min="18" max="18" width="6.6640625" style="3" customWidth="1"/>
    <col min="19" max="19" width="6.5546875" style="3" customWidth="1"/>
    <col min="20" max="20" width="5.5546875" style="3" bestFit="1" customWidth="1"/>
    <col min="21" max="22" width="6.5546875" style="3" customWidth="1"/>
    <col min="23" max="23" width="6.6640625" style="3" customWidth="1"/>
    <col min="24" max="24" width="6.5546875" style="3" customWidth="1"/>
    <col min="25" max="25" width="5.5546875" style="3" bestFit="1" customWidth="1"/>
    <col min="26" max="27" width="6.5546875" style="3" customWidth="1"/>
    <col min="28" max="28" width="6.6640625" style="3" customWidth="1"/>
    <col min="29" max="29" width="6.5546875" style="3" customWidth="1"/>
    <col min="30" max="30" width="5.5546875" style="3" bestFit="1" customWidth="1"/>
    <col min="31" max="32" width="6.5546875" style="3" customWidth="1"/>
    <col min="33" max="33" width="6.6640625" style="3" customWidth="1"/>
    <col min="34" max="34" width="6.5546875" style="3" customWidth="1"/>
    <col min="35" max="35" width="5.5546875" style="3" bestFit="1" customWidth="1"/>
    <col min="36" max="37" width="6.5546875" style="3" customWidth="1"/>
    <col min="38" max="38" width="6.6640625" style="3" customWidth="1"/>
    <col min="39" max="39" width="6.5546875" style="3" customWidth="1"/>
    <col min="40" max="40" width="5.5546875" style="3" bestFit="1" customWidth="1"/>
    <col min="41" max="42" width="6.5546875" style="3" customWidth="1"/>
    <col min="43" max="43" width="7.33203125" style="5" customWidth="1"/>
    <col min="44" max="44" width="7" style="5" customWidth="1"/>
    <col min="45" max="45" width="6.88671875" style="5" customWidth="1"/>
    <col min="46" max="46" width="6.6640625" style="5" customWidth="1"/>
    <col min="47" max="47" width="6.5546875" style="5" customWidth="1"/>
    <col min="48" max="48" width="0.33203125" style="5" customWidth="1"/>
    <col min="49" max="49" width="7.33203125" style="5" hidden="1" customWidth="1"/>
    <col min="50" max="50" width="7.109375" style="5" hidden="1" customWidth="1"/>
    <col min="51" max="51" width="6.109375" style="5" hidden="1" customWidth="1"/>
    <col min="52" max="52" width="6.6640625" style="5" hidden="1" customWidth="1"/>
    <col min="53" max="54" width="7.33203125" style="5" customWidth="1"/>
    <col min="55" max="55" width="7.109375" style="5" customWidth="1"/>
    <col min="56" max="56" width="7.33203125" style="5" customWidth="1"/>
    <col min="57" max="57" width="6.6640625" style="5" customWidth="1"/>
    <col min="58" max="72" width="7.33203125" style="5" customWidth="1"/>
    <col min="73" max="16384" width="11.44140625" style="5"/>
  </cols>
  <sheetData>
    <row r="1" spans="1:72" s="1" customFormat="1" x14ac:dyDescent="0.25">
      <c r="A1" s="1" t="s">
        <v>38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72" s="1" customFormat="1" x14ac:dyDescent="0.25">
      <c r="A2" s="1" t="s">
        <v>57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4" spans="1:72" ht="13.8" thickBot="1" x14ac:dyDescent="0.3"/>
    <row r="5" spans="1:72" s="6" customFormat="1" ht="15.75" customHeight="1" x14ac:dyDescent="0.25">
      <c r="A5" s="463" t="s">
        <v>28</v>
      </c>
      <c r="B5" s="466" t="s">
        <v>29</v>
      </c>
      <c r="C5" s="456" t="s">
        <v>41</v>
      </c>
      <c r="D5" s="457"/>
      <c r="E5" s="457"/>
      <c r="F5" s="457"/>
      <c r="G5" s="458"/>
      <c r="H5" s="450" t="s">
        <v>22</v>
      </c>
      <c r="I5" s="451"/>
      <c r="J5" s="451"/>
      <c r="K5" s="451"/>
      <c r="L5" s="452"/>
      <c r="M5" s="450" t="s">
        <v>23</v>
      </c>
      <c r="N5" s="451"/>
      <c r="O5" s="451"/>
      <c r="P5" s="451"/>
      <c r="Q5" s="452"/>
      <c r="R5" s="450" t="s">
        <v>24</v>
      </c>
      <c r="S5" s="451"/>
      <c r="T5" s="451"/>
      <c r="U5" s="451"/>
      <c r="V5" s="452"/>
      <c r="W5" s="450" t="s">
        <v>25</v>
      </c>
      <c r="X5" s="451"/>
      <c r="Y5" s="451"/>
      <c r="Z5" s="451"/>
      <c r="AA5" s="452"/>
      <c r="AB5" s="450" t="s">
        <v>27</v>
      </c>
      <c r="AC5" s="451"/>
      <c r="AD5" s="451"/>
      <c r="AE5" s="451"/>
      <c r="AF5" s="471"/>
      <c r="AG5" s="450" t="s">
        <v>47</v>
      </c>
      <c r="AH5" s="451"/>
      <c r="AI5" s="451"/>
      <c r="AJ5" s="451"/>
      <c r="AK5" s="452"/>
      <c r="AL5" s="450" t="s">
        <v>50</v>
      </c>
      <c r="AM5" s="451"/>
      <c r="AN5" s="451"/>
      <c r="AO5" s="451"/>
      <c r="AP5" s="452"/>
      <c r="AQ5" s="450" t="s">
        <v>64</v>
      </c>
      <c r="AR5" s="451"/>
      <c r="AS5" s="451"/>
      <c r="AT5" s="451"/>
      <c r="AU5" s="452"/>
      <c r="AV5" s="450" t="s">
        <v>65</v>
      </c>
      <c r="AW5" s="451"/>
      <c r="AX5" s="451"/>
      <c r="AY5" s="451"/>
      <c r="AZ5" s="452"/>
      <c r="BA5" s="450" t="s">
        <v>66</v>
      </c>
      <c r="BB5" s="451"/>
      <c r="BC5" s="451"/>
      <c r="BD5" s="451"/>
      <c r="BE5" s="452"/>
      <c r="BF5" s="450" t="s">
        <v>71</v>
      </c>
      <c r="BG5" s="451"/>
      <c r="BH5" s="451"/>
      <c r="BI5" s="451"/>
      <c r="BJ5" s="452"/>
      <c r="BK5" s="450" t="s">
        <v>79</v>
      </c>
      <c r="BL5" s="451"/>
      <c r="BM5" s="451"/>
      <c r="BN5" s="451"/>
      <c r="BO5" s="452"/>
      <c r="BP5" s="450" t="s">
        <v>82</v>
      </c>
      <c r="BQ5" s="451"/>
      <c r="BR5" s="451"/>
      <c r="BS5" s="451"/>
      <c r="BT5" s="452"/>
    </row>
    <row r="6" spans="1:72" s="6" customFormat="1" ht="15.75" customHeight="1" x14ac:dyDescent="0.25">
      <c r="A6" s="464"/>
      <c r="B6" s="467"/>
      <c r="C6" s="447" t="s">
        <v>30</v>
      </c>
      <c r="D6" s="469" t="s">
        <v>58</v>
      </c>
      <c r="E6" s="469"/>
      <c r="F6" s="469"/>
      <c r="G6" s="470"/>
      <c r="H6" s="91"/>
      <c r="I6" s="92"/>
      <c r="J6" s="92"/>
      <c r="K6" s="92"/>
      <c r="L6" s="93"/>
      <c r="M6" s="447" t="s">
        <v>30</v>
      </c>
      <c r="N6" s="444" t="s">
        <v>58</v>
      </c>
      <c r="O6" s="445"/>
      <c r="P6" s="445"/>
      <c r="Q6" s="446"/>
      <c r="R6" s="447" t="s">
        <v>30</v>
      </c>
      <c r="S6" s="444" t="s">
        <v>58</v>
      </c>
      <c r="T6" s="445"/>
      <c r="U6" s="445"/>
      <c r="V6" s="446"/>
      <c r="W6" s="447" t="s">
        <v>30</v>
      </c>
      <c r="X6" s="444" t="s">
        <v>58</v>
      </c>
      <c r="Y6" s="445"/>
      <c r="Z6" s="445"/>
      <c r="AA6" s="446"/>
      <c r="AB6" s="447" t="s">
        <v>30</v>
      </c>
      <c r="AC6" s="444" t="s">
        <v>58</v>
      </c>
      <c r="AD6" s="445"/>
      <c r="AE6" s="445"/>
      <c r="AF6" s="446"/>
      <c r="AG6" s="447" t="s">
        <v>30</v>
      </c>
      <c r="AH6" s="444" t="s">
        <v>58</v>
      </c>
      <c r="AI6" s="445"/>
      <c r="AJ6" s="445"/>
      <c r="AK6" s="446"/>
      <c r="AL6" s="447" t="s">
        <v>30</v>
      </c>
      <c r="AM6" s="444" t="s">
        <v>58</v>
      </c>
      <c r="AN6" s="445"/>
      <c r="AO6" s="445"/>
      <c r="AP6" s="446"/>
      <c r="AQ6" s="447" t="s">
        <v>30</v>
      </c>
      <c r="AR6" s="444" t="s">
        <v>58</v>
      </c>
      <c r="AS6" s="445"/>
      <c r="AT6" s="445"/>
      <c r="AU6" s="446"/>
      <c r="AV6" s="447" t="s">
        <v>30</v>
      </c>
      <c r="AW6" s="444" t="s">
        <v>58</v>
      </c>
      <c r="AX6" s="445"/>
      <c r="AY6" s="445"/>
      <c r="AZ6" s="446"/>
      <c r="BA6" s="447" t="s">
        <v>30</v>
      </c>
      <c r="BB6" s="444" t="s">
        <v>58</v>
      </c>
      <c r="BC6" s="445"/>
      <c r="BD6" s="445"/>
      <c r="BE6" s="446"/>
      <c r="BF6" s="447" t="s">
        <v>30</v>
      </c>
      <c r="BG6" s="444" t="s">
        <v>58</v>
      </c>
      <c r="BH6" s="445"/>
      <c r="BI6" s="445"/>
      <c r="BJ6" s="446"/>
      <c r="BK6" s="447" t="s">
        <v>30</v>
      </c>
      <c r="BL6" s="444" t="s">
        <v>58</v>
      </c>
      <c r="BM6" s="445"/>
      <c r="BN6" s="445"/>
      <c r="BO6" s="446"/>
      <c r="BP6" s="447" t="s">
        <v>30</v>
      </c>
      <c r="BQ6" s="444" t="s">
        <v>58</v>
      </c>
      <c r="BR6" s="445"/>
      <c r="BS6" s="445"/>
      <c r="BT6" s="446"/>
    </row>
    <row r="7" spans="1:72" ht="24.75" customHeight="1" x14ac:dyDescent="0.25">
      <c r="A7" s="464"/>
      <c r="B7" s="467"/>
      <c r="C7" s="448"/>
      <c r="D7" s="441" t="s">
        <v>59</v>
      </c>
      <c r="E7" s="442"/>
      <c r="F7" s="441" t="s">
        <v>60</v>
      </c>
      <c r="G7" s="443"/>
      <c r="H7" s="7" t="s">
        <v>30</v>
      </c>
      <c r="I7" s="453" t="s">
        <v>46</v>
      </c>
      <c r="J7" s="454"/>
      <c r="K7" s="453" t="s">
        <v>45</v>
      </c>
      <c r="L7" s="455"/>
      <c r="M7" s="448"/>
      <c r="N7" s="441" t="s">
        <v>59</v>
      </c>
      <c r="O7" s="442"/>
      <c r="P7" s="441" t="s">
        <v>60</v>
      </c>
      <c r="Q7" s="443"/>
      <c r="R7" s="448"/>
      <c r="S7" s="441" t="s">
        <v>59</v>
      </c>
      <c r="T7" s="442"/>
      <c r="U7" s="441" t="s">
        <v>60</v>
      </c>
      <c r="V7" s="443"/>
      <c r="W7" s="448"/>
      <c r="X7" s="441" t="s">
        <v>59</v>
      </c>
      <c r="Y7" s="442"/>
      <c r="Z7" s="441" t="s">
        <v>60</v>
      </c>
      <c r="AA7" s="443"/>
      <c r="AB7" s="448"/>
      <c r="AC7" s="441" t="s">
        <v>59</v>
      </c>
      <c r="AD7" s="442"/>
      <c r="AE7" s="441" t="s">
        <v>60</v>
      </c>
      <c r="AF7" s="443"/>
      <c r="AG7" s="448"/>
      <c r="AH7" s="441" t="s">
        <v>59</v>
      </c>
      <c r="AI7" s="442"/>
      <c r="AJ7" s="441" t="s">
        <v>60</v>
      </c>
      <c r="AK7" s="443"/>
      <c r="AL7" s="448"/>
      <c r="AM7" s="441" t="s">
        <v>59</v>
      </c>
      <c r="AN7" s="442"/>
      <c r="AO7" s="441" t="s">
        <v>60</v>
      </c>
      <c r="AP7" s="443"/>
      <c r="AQ7" s="448"/>
      <c r="AR7" s="441" t="s">
        <v>59</v>
      </c>
      <c r="AS7" s="442"/>
      <c r="AT7" s="441" t="s">
        <v>60</v>
      </c>
      <c r="AU7" s="443"/>
      <c r="AV7" s="448"/>
      <c r="AW7" s="441" t="s">
        <v>59</v>
      </c>
      <c r="AX7" s="442"/>
      <c r="AY7" s="441" t="s">
        <v>60</v>
      </c>
      <c r="AZ7" s="443"/>
      <c r="BA7" s="448"/>
      <c r="BB7" s="441" t="s">
        <v>59</v>
      </c>
      <c r="BC7" s="442"/>
      <c r="BD7" s="441" t="s">
        <v>60</v>
      </c>
      <c r="BE7" s="443"/>
      <c r="BF7" s="448"/>
      <c r="BG7" s="441" t="s">
        <v>59</v>
      </c>
      <c r="BH7" s="442"/>
      <c r="BI7" s="441" t="s">
        <v>60</v>
      </c>
      <c r="BJ7" s="443"/>
      <c r="BK7" s="448"/>
      <c r="BL7" s="441" t="s">
        <v>59</v>
      </c>
      <c r="BM7" s="442"/>
      <c r="BN7" s="441" t="s">
        <v>60</v>
      </c>
      <c r="BO7" s="443"/>
      <c r="BP7" s="448"/>
      <c r="BQ7" s="441" t="s">
        <v>59</v>
      </c>
      <c r="BR7" s="442"/>
      <c r="BS7" s="441" t="s">
        <v>60</v>
      </c>
      <c r="BT7" s="443"/>
    </row>
    <row r="8" spans="1:72" ht="24.75" customHeight="1" thickBot="1" x14ac:dyDescent="0.3">
      <c r="A8" s="465"/>
      <c r="B8" s="468"/>
      <c r="C8" s="449"/>
      <c r="D8" s="94" t="s">
        <v>43</v>
      </c>
      <c r="E8" s="95" t="s">
        <v>44</v>
      </c>
      <c r="F8" s="96" t="s">
        <v>43</v>
      </c>
      <c r="G8" s="97" t="s">
        <v>44</v>
      </c>
      <c r="H8" s="7"/>
      <c r="I8" s="9" t="s">
        <v>43</v>
      </c>
      <c r="J8" s="8" t="s">
        <v>44</v>
      </c>
      <c r="K8" s="8" t="s">
        <v>43</v>
      </c>
      <c r="L8" s="10" t="s">
        <v>44</v>
      </c>
      <c r="M8" s="449"/>
      <c r="N8" s="94" t="s">
        <v>43</v>
      </c>
      <c r="O8" s="95" t="s">
        <v>44</v>
      </c>
      <c r="P8" s="96" t="s">
        <v>43</v>
      </c>
      <c r="Q8" s="97" t="s">
        <v>44</v>
      </c>
      <c r="R8" s="449"/>
      <c r="S8" s="94" t="s">
        <v>43</v>
      </c>
      <c r="T8" s="95" t="s">
        <v>44</v>
      </c>
      <c r="U8" s="96" t="s">
        <v>43</v>
      </c>
      <c r="V8" s="97" t="s">
        <v>44</v>
      </c>
      <c r="W8" s="449"/>
      <c r="X8" s="94" t="s">
        <v>43</v>
      </c>
      <c r="Y8" s="95" t="s">
        <v>44</v>
      </c>
      <c r="Z8" s="96" t="s">
        <v>43</v>
      </c>
      <c r="AA8" s="97" t="s">
        <v>44</v>
      </c>
      <c r="AB8" s="449"/>
      <c r="AC8" s="94" t="s">
        <v>43</v>
      </c>
      <c r="AD8" s="95" t="s">
        <v>44</v>
      </c>
      <c r="AE8" s="96" t="s">
        <v>43</v>
      </c>
      <c r="AF8" s="97" t="s">
        <v>44</v>
      </c>
      <c r="AG8" s="449"/>
      <c r="AH8" s="94" t="s">
        <v>43</v>
      </c>
      <c r="AI8" s="95" t="s">
        <v>44</v>
      </c>
      <c r="AJ8" s="96" t="s">
        <v>43</v>
      </c>
      <c r="AK8" s="98" t="s">
        <v>44</v>
      </c>
      <c r="AL8" s="449"/>
      <c r="AM8" s="94" t="s">
        <v>43</v>
      </c>
      <c r="AN8" s="95" t="s">
        <v>44</v>
      </c>
      <c r="AO8" s="96" t="s">
        <v>43</v>
      </c>
      <c r="AP8" s="98" t="s">
        <v>44</v>
      </c>
      <c r="AQ8" s="449"/>
      <c r="AR8" s="94" t="s">
        <v>43</v>
      </c>
      <c r="AS8" s="95" t="s">
        <v>44</v>
      </c>
      <c r="AT8" s="96" t="s">
        <v>43</v>
      </c>
      <c r="AU8" s="98" t="s">
        <v>44</v>
      </c>
      <c r="AV8" s="449"/>
      <c r="AW8" s="94" t="s">
        <v>43</v>
      </c>
      <c r="AX8" s="95" t="s">
        <v>44</v>
      </c>
      <c r="AY8" s="96" t="s">
        <v>43</v>
      </c>
      <c r="AZ8" s="98" t="s">
        <v>44</v>
      </c>
      <c r="BA8" s="449"/>
      <c r="BB8" s="94" t="s">
        <v>43</v>
      </c>
      <c r="BC8" s="95" t="s">
        <v>44</v>
      </c>
      <c r="BD8" s="96" t="s">
        <v>43</v>
      </c>
      <c r="BE8" s="98" t="s">
        <v>44</v>
      </c>
      <c r="BF8" s="449"/>
      <c r="BG8" s="94" t="s">
        <v>43</v>
      </c>
      <c r="BH8" s="95" t="s">
        <v>44</v>
      </c>
      <c r="BI8" s="96" t="s">
        <v>43</v>
      </c>
      <c r="BJ8" s="98" t="s">
        <v>44</v>
      </c>
      <c r="BK8" s="449"/>
      <c r="BL8" s="94" t="s">
        <v>43</v>
      </c>
      <c r="BM8" s="95" t="s">
        <v>44</v>
      </c>
      <c r="BN8" s="96" t="s">
        <v>43</v>
      </c>
      <c r="BO8" s="98" t="s">
        <v>44</v>
      </c>
      <c r="BP8" s="449"/>
      <c r="BQ8" s="94" t="s">
        <v>43</v>
      </c>
      <c r="BR8" s="95" t="s">
        <v>44</v>
      </c>
      <c r="BS8" s="96" t="s">
        <v>43</v>
      </c>
      <c r="BT8" s="98" t="s">
        <v>44</v>
      </c>
    </row>
    <row r="9" spans="1:72" s="18" customFormat="1" ht="15" customHeight="1" thickBot="1" x14ac:dyDescent="0.3">
      <c r="A9" s="12">
        <v>1</v>
      </c>
      <c r="B9" s="13">
        <v>2</v>
      </c>
      <c r="C9" s="14">
        <v>3</v>
      </c>
      <c r="D9" s="15">
        <v>4</v>
      </c>
      <c r="E9" s="16">
        <v>5</v>
      </c>
      <c r="F9" s="13">
        <v>6</v>
      </c>
      <c r="G9" s="17">
        <v>7</v>
      </c>
      <c r="H9" s="14">
        <v>8</v>
      </c>
      <c r="I9" s="15">
        <v>9</v>
      </c>
      <c r="J9" s="16">
        <v>10</v>
      </c>
      <c r="K9" s="13">
        <v>11</v>
      </c>
      <c r="L9" s="17">
        <v>12</v>
      </c>
      <c r="M9" s="14">
        <v>8</v>
      </c>
      <c r="N9" s="15">
        <v>9</v>
      </c>
      <c r="O9" s="16">
        <v>10</v>
      </c>
      <c r="P9" s="13">
        <v>11</v>
      </c>
      <c r="Q9" s="17">
        <v>12</v>
      </c>
      <c r="R9" s="14">
        <v>8</v>
      </c>
      <c r="S9" s="15">
        <v>9</v>
      </c>
      <c r="T9" s="16">
        <v>10</v>
      </c>
      <c r="U9" s="13">
        <v>11</v>
      </c>
      <c r="V9" s="17">
        <v>12</v>
      </c>
      <c r="W9" s="14">
        <v>13</v>
      </c>
      <c r="X9" s="15">
        <v>14</v>
      </c>
      <c r="Y9" s="16">
        <v>15</v>
      </c>
      <c r="Z9" s="13">
        <v>16</v>
      </c>
      <c r="AA9" s="17">
        <v>17</v>
      </c>
      <c r="AB9" s="14">
        <v>18</v>
      </c>
      <c r="AC9" s="15">
        <v>19</v>
      </c>
      <c r="AD9" s="16">
        <v>20</v>
      </c>
      <c r="AE9" s="13">
        <v>21</v>
      </c>
      <c r="AF9" s="84">
        <v>22</v>
      </c>
      <c r="AG9" s="14">
        <v>23</v>
      </c>
      <c r="AH9" s="15">
        <v>24</v>
      </c>
      <c r="AI9" s="16">
        <v>25</v>
      </c>
      <c r="AJ9" s="13">
        <v>26</v>
      </c>
      <c r="AK9" s="17">
        <v>27</v>
      </c>
      <c r="AL9" s="14">
        <v>28</v>
      </c>
      <c r="AM9" s="15">
        <v>29</v>
      </c>
      <c r="AN9" s="16">
        <v>30</v>
      </c>
      <c r="AO9" s="13">
        <v>31</v>
      </c>
      <c r="AP9" s="17">
        <v>32</v>
      </c>
      <c r="AQ9" s="14">
        <v>33</v>
      </c>
      <c r="AR9" s="15">
        <v>34</v>
      </c>
      <c r="AS9" s="16">
        <v>35</v>
      </c>
      <c r="AT9" s="13">
        <v>36</v>
      </c>
      <c r="AU9" s="17">
        <v>37</v>
      </c>
      <c r="AV9" s="14">
        <v>38</v>
      </c>
      <c r="AW9" s="15">
        <v>39</v>
      </c>
      <c r="AX9" s="16">
        <v>40</v>
      </c>
      <c r="AY9" s="13">
        <v>41</v>
      </c>
      <c r="AZ9" s="17">
        <v>42</v>
      </c>
      <c r="BA9" s="14">
        <v>43</v>
      </c>
      <c r="BB9" s="15">
        <v>44</v>
      </c>
      <c r="BC9" s="16">
        <v>45</v>
      </c>
      <c r="BD9" s="13">
        <v>46</v>
      </c>
      <c r="BE9" s="17">
        <v>47</v>
      </c>
      <c r="BF9" s="14">
        <v>48</v>
      </c>
      <c r="BG9" s="15">
        <v>49</v>
      </c>
      <c r="BH9" s="16">
        <v>50</v>
      </c>
      <c r="BI9" s="13">
        <v>51</v>
      </c>
      <c r="BJ9" s="17">
        <v>52</v>
      </c>
      <c r="BK9" s="14">
        <v>53</v>
      </c>
      <c r="BL9" s="15">
        <v>54</v>
      </c>
      <c r="BM9" s="16">
        <v>55</v>
      </c>
      <c r="BN9" s="13">
        <v>56</v>
      </c>
      <c r="BO9" s="17">
        <v>57</v>
      </c>
      <c r="BP9" s="14">
        <v>53</v>
      </c>
      <c r="BQ9" s="15">
        <v>54</v>
      </c>
      <c r="BR9" s="16">
        <v>55</v>
      </c>
      <c r="BS9" s="13">
        <v>56</v>
      </c>
      <c r="BT9" s="17">
        <v>57</v>
      </c>
    </row>
    <row r="10" spans="1:72" ht="26.4" customHeight="1" thickBot="1" x14ac:dyDescent="0.3">
      <c r="A10" s="19">
        <v>1</v>
      </c>
      <c r="B10" s="20" t="s">
        <v>11</v>
      </c>
      <c r="C10" s="21">
        <v>1056</v>
      </c>
      <c r="D10" s="22">
        <f>C10-F10</f>
        <v>369</v>
      </c>
      <c r="E10" s="23">
        <f>D10*100/C10</f>
        <v>34.94318181818182</v>
      </c>
      <c r="F10" s="70">
        <v>687</v>
      </c>
      <c r="G10" s="71">
        <f>F10*100/C10</f>
        <v>65.056818181818187</v>
      </c>
      <c r="H10" s="21" t="e">
        <f>Sek_2!#REF!</f>
        <v>#REF!</v>
      </c>
      <c r="I10" s="22" t="e">
        <f>H10-K10</f>
        <v>#REF!</v>
      </c>
      <c r="J10" s="23" t="e">
        <f>I10*100/H10</f>
        <v>#REF!</v>
      </c>
      <c r="K10" s="70" t="e">
        <f>Sek_2!#REF!</f>
        <v>#REF!</v>
      </c>
      <c r="L10" s="71" t="e">
        <f>K10*100/H10</f>
        <v>#REF!</v>
      </c>
      <c r="M10" s="21">
        <v>1127</v>
      </c>
      <c r="N10" s="22">
        <f>M10-P10</f>
        <v>397</v>
      </c>
      <c r="O10" s="23">
        <f>N10*100/M10</f>
        <v>35.226264418811006</v>
      </c>
      <c r="P10" s="70">
        <v>730</v>
      </c>
      <c r="Q10" s="71">
        <f>P10*100/M10</f>
        <v>64.773735581189001</v>
      </c>
      <c r="R10" s="21">
        <v>1148</v>
      </c>
      <c r="S10" s="22">
        <f>R10-U10</f>
        <v>405</v>
      </c>
      <c r="T10" s="23">
        <f>S10*100/R10</f>
        <v>35.278745644599304</v>
      </c>
      <c r="U10" s="70">
        <v>743</v>
      </c>
      <c r="V10" s="71">
        <f>U10*100/R10</f>
        <v>64.721254355400703</v>
      </c>
      <c r="W10" s="21">
        <v>1158</v>
      </c>
      <c r="X10" s="22">
        <f>W10-Z10</f>
        <v>415</v>
      </c>
      <c r="Y10" s="23">
        <f>X10*100/W10</f>
        <v>35.837651122625218</v>
      </c>
      <c r="Z10" s="70">
        <v>743</v>
      </c>
      <c r="AA10" s="71">
        <f>Z10*100/W10</f>
        <v>64.162348877374782</v>
      </c>
      <c r="AB10" s="21">
        <v>1173</v>
      </c>
      <c r="AC10" s="22">
        <f>AB10-AE10</f>
        <v>431</v>
      </c>
      <c r="AD10" s="23">
        <f>AC10*100/AB10</f>
        <v>36.743393009377662</v>
      </c>
      <c r="AE10" s="70">
        <v>742</v>
      </c>
      <c r="AF10" s="85">
        <f>AE10*100/AB10</f>
        <v>63.256606990622338</v>
      </c>
      <c r="AG10" s="21">
        <v>1184</v>
      </c>
      <c r="AH10" s="22">
        <f>AG10-AJ10</f>
        <v>432</v>
      </c>
      <c r="AI10" s="23">
        <f>AH10*100/AG10</f>
        <v>36.486486486486484</v>
      </c>
      <c r="AJ10" s="70">
        <v>752</v>
      </c>
      <c r="AK10" s="71">
        <f>AJ10*100/AG10</f>
        <v>63.513513513513516</v>
      </c>
      <c r="AL10" s="21">
        <v>1213</v>
      </c>
      <c r="AM10" s="22">
        <f>AL10-AO10</f>
        <v>462</v>
      </c>
      <c r="AN10" s="23">
        <f>AM10*100/AL10</f>
        <v>38.087386644682603</v>
      </c>
      <c r="AO10" s="70">
        <v>751</v>
      </c>
      <c r="AP10" s="71">
        <f>AO10*100/AL10</f>
        <v>61.912613355317397</v>
      </c>
      <c r="AQ10" s="21">
        <v>1248</v>
      </c>
      <c r="AR10" s="22">
        <f t="shared" ref="AR10:AR20" si="0">AQ10-AT10</f>
        <v>504</v>
      </c>
      <c r="AS10" s="23">
        <f>AR10*100/AQ10</f>
        <v>40.384615384615387</v>
      </c>
      <c r="AT10" s="70">
        <v>744</v>
      </c>
      <c r="AU10" s="71">
        <f>AT10*100/AQ10</f>
        <v>59.615384615384613</v>
      </c>
      <c r="AV10" s="21">
        <v>1299</v>
      </c>
      <c r="AW10" s="22">
        <f t="shared" ref="AW10:AW20" si="1">AV10-AY10</f>
        <v>526</v>
      </c>
      <c r="AX10" s="23">
        <f>AW10*100/AV10</f>
        <v>40.492686682063123</v>
      </c>
      <c r="AY10" s="70">
        <v>773</v>
      </c>
      <c r="AZ10" s="71">
        <f>AY10*100/AV10</f>
        <v>59.507313317936877</v>
      </c>
      <c r="BA10" s="21">
        <v>1327</v>
      </c>
      <c r="BB10" s="22">
        <f t="shared" ref="BB10:BB20" si="2">BA10-BD10</f>
        <v>546</v>
      </c>
      <c r="BC10" s="23">
        <f>BB10*100/BA10</f>
        <v>41.145440844009045</v>
      </c>
      <c r="BD10" s="70">
        <v>781</v>
      </c>
      <c r="BE10" s="71">
        <f>BD10*100/BA10</f>
        <v>58.854559155990955</v>
      </c>
      <c r="BF10" s="21">
        <v>1357</v>
      </c>
      <c r="BG10" s="22">
        <f t="shared" ref="BG10:BG20" si="3">BF10-BI10</f>
        <v>574</v>
      </c>
      <c r="BH10" s="23">
        <f>BG10*100/BF10</f>
        <v>42.299189388356666</v>
      </c>
      <c r="BI10" s="70">
        <v>783</v>
      </c>
      <c r="BJ10" s="71">
        <f>BI10*100/BF10</f>
        <v>57.700810611643334</v>
      </c>
      <c r="BK10" s="21">
        <v>1368</v>
      </c>
      <c r="BL10" s="22">
        <f t="shared" ref="BL10:BL20" si="4">BK10-BN10</f>
        <v>591</v>
      </c>
      <c r="BM10" s="23">
        <f>BL10*100/BK10</f>
        <v>43.201754385964911</v>
      </c>
      <c r="BN10" s="70">
        <v>777</v>
      </c>
      <c r="BO10" s="71">
        <f>BN10*100/BK10</f>
        <v>56.798245614035089</v>
      </c>
      <c r="BP10" s="21">
        <v>1281</v>
      </c>
      <c r="BQ10" s="22">
        <f t="shared" ref="BQ10:BQ20" si="5">BP10-BS10</f>
        <v>561</v>
      </c>
      <c r="BR10" s="23">
        <f>BQ10*100/BP10</f>
        <v>43.793911007025763</v>
      </c>
      <c r="BS10" s="70">
        <v>720</v>
      </c>
      <c r="BT10" s="71">
        <f>BS10*100/BP10</f>
        <v>56.206088992974237</v>
      </c>
    </row>
    <row r="11" spans="1:72" ht="26.4" customHeight="1" x14ac:dyDescent="0.25">
      <c r="A11" s="27">
        <f>A10+1</f>
        <v>2</v>
      </c>
      <c r="B11" s="28" t="s">
        <v>12</v>
      </c>
      <c r="C11" s="29">
        <v>568</v>
      </c>
      <c r="D11" s="30">
        <f t="shared" ref="D11:D20" si="6">C11-F11</f>
        <v>297</v>
      </c>
      <c r="E11" s="31">
        <f t="shared" ref="E11:E26" si="7">D11*100/C11</f>
        <v>52.2887323943662</v>
      </c>
      <c r="F11" s="72">
        <v>271</v>
      </c>
      <c r="G11" s="73">
        <f t="shared" ref="G11:G26" si="8">F11*100/C11</f>
        <v>47.7112676056338</v>
      </c>
      <c r="H11" s="29" t="e">
        <f>Sek_2!#REF!</f>
        <v>#REF!</v>
      </c>
      <c r="I11" s="30" t="e">
        <f t="shared" ref="I11:I20" si="9">H11-K11</f>
        <v>#REF!</v>
      </c>
      <c r="J11" s="31" t="e">
        <f t="shared" ref="J11:J26" si="10">I11*100/H11</f>
        <v>#REF!</v>
      </c>
      <c r="K11" s="72" t="e">
        <f>Sek_2!#REF!</f>
        <v>#REF!</v>
      </c>
      <c r="L11" s="73" t="e">
        <f t="shared" ref="L11:L26" si="11">K11*100/H11</f>
        <v>#REF!</v>
      </c>
      <c r="M11" s="29">
        <v>665</v>
      </c>
      <c r="N11" s="30">
        <f t="shared" ref="N11:N20" si="12">M11-P11</f>
        <v>339</v>
      </c>
      <c r="O11" s="31">
        <f t="shared" ref="O11:O26" si="13">N11*100/M11</f>
        <v>50.977443609022558</v>
      </c>
      <c r="P11" s="72">
        <v>326</v>
      </c>
      <c r="Q11" s="73">
        <f t="shared" ref="Q11:Q26" si="14">P11*100/M11</f>
        <v>49.022556390977442</v>
      </c>
      <c r="R11" s="29">
        <v>703</v>
      </c>
      <c r="S11" s="30">
        <f t="shared" ref="S11:S20" si="15">R11-U11</f>
        <v>355</v>
      </c>
      <c r="T11" s="31">
        <f t="shared" ref="T11:T26" si="16">S11*100/R11</f>
        <v>50.497866287339974</v>
      </c>
      <c r="U11" s="72">
        <v>348</v>
      </c>
      <c r="V11" s="73">
        <f t="shared" ref="V11:V26" si="17">U11*100/R11</f>
        <v>49.502133712660026</v>
      </c>
      <c r="W11" s="29">
        <v>740</v>
      </c>
      <c r="X11" s="30">
        <f t="shared" ref="X11:X20" si="18">W11-Z11</f>
        <v>375</v>
      </c>
      <c r="Y11" s="31">
        <f t="shared" ref="Y11:Y26" si="19">X11*100/W11</f>
        <v>50.675675675675677</v>
      </c>
      <c r="Z11" s="72">
        <v>365</v>
      </c>
      <c r="AA11" s="73">
        <f t="shared" ref="AA11:AA26" si="20">Z11*100/W11</f>
        <v>49.324324324324323</v>
      </c>
      <c r="AB11" s="29">
        <v>796</v>
      </c>
      <c r="AC11" s="30">
        <f t="shared" ref="AC11:AC20" si="21">AB11-AE11</f>
        <v>415</v>
      </c>
      <c r="AD11" s="31">
        <f t="shared" ref="AD11:AD26" si="22">AC11*100/AB11</f>
        <v>52.1356783919598</v>
      </c>
      <c r="AE11" s="72">
        <v>381</v>
      </c>
      <c r="AF11" s="86">
        <f t="shared" ref="AF11:AF26" si="23">AE11*100/AB11</f>
        <v>47.8643216080402</v>
      </c>
      <c r="AG11" s="29">
        <v>831</v>
      </c>
      <c r="AH11" s="30">
        <f t="shared" ref="AH11:AH20" si="24">AG11-AJ11</f>
        <v>424</v>
      </c>
      <c r="AI11" s="31">
        <f t="shared" ref="AI11:AI26" si="25">AH11*100/AG11</f>
        <v>51.022864019253909</v>
      </c>
      <c r="AJ11" s="72">
        <v>407</v>
      </c>
      <c r="AK11" s="73">
        <f t="shared" ref="AK11:AK26" si="26">AJ11*100/AG11</f>
        <v>48.977135980746091</v>
      </c>
      <c r="AL11" s="29">
        <v>931</v>
      </c>
      <c r="AM11" s="30">
        <f t="shared" ref="AM11:AM20" si="27">AL11-AO11</f>
        <v>481</v>
      </c>
      <c r="AN11" s="31">
        <f t="shared" ref="AN11:AN26" si="28">AM11*100/AL11</f>
        <v>51.664876476906549</v>
      </c>
      <c r="AO11" s="72">
        <v>450</v>
      </c>
      <c r="AP11" s="73">
        <f t="shared" ref="AP11:AP26" si="29">AO11*100/AL11</f>
        <v>48.335123523093451</v>
      </c>
      <c r="AQ11" s="29">
        <v>1010</v>
      </c>
      <c r="AR11" s="22">
        <f t="shared" si="0"/>
        <v>515</v>
      </c>
      <c r="AS11" s="31">
        <f>AR11*100/AQ11</f>
        <v>50.990099009900987</v>
      </c>
      <c r="AT11" s="72">
        <v>495</v>
      </c>
      <c r="AU11" s="73">
        <f t="shared" ref="AU11:AU26" si="30">AT11*100/AQ11</f>
        <v>49.009900990099013</v>
      </c>
      <c r="AV11" s="29">
        <v>1064</v>
      </c>
      <c r="AW11" s="22">
        <f t="shared" si="1"/>
        <v>544</v>
      </c>
      <c r="AX11" s="31">
        <f>AW11*100/AV11</f>
        <v>51.127819548872182</v>
      </c>
      <c r="AY11" s="72">
        <v>520</v>
      </c>
      <c r="AZ11" s="73">
        <f t="shared" ref="AZ11:AZ26" si="31">AY11*100/AV11</f>
        <v>48.872180451127818</v>
      </c>
      <c r="BA11" s="29">
        <v>1109</v>
      </c>
      <c r="BB11" s="106">
        <f t="shared" si="2"/>
        <v>585</v>
      </c>
      <c r="BC11" s="31">
        <f>BB11*100/BA11</f>
        <v>52.750225428313797</v>
      </c>
      <c r="BD11" s="72">
        <v>524</v>
      </c>
      <c r="BE11" s="73">
        <f t="shared" ref="BE11:BE26" si="32">BD11*100/BA11</f>
        <v>47.249774571686203</v>
      </c>
      <c r="BF11" s="29">
        <v>1140</v>
      </c>
      <c r="BG11" s="106">
        <f t="shared" si="3"/>
        <v>603</v>
      </c>
      <c r="BH11" s="31">
        <f>BG11*100/BF11</f>
        <v>52.89473684210526</v>
      </c>
      <c r="BI11" s="72">
        <v>537</v>
      </c>
      <c r="BJ11" s="73">
        <f t="shared" ref="BJ11:BJ26" si="33">BI11*100/BF11</f>
        <v>47.10526315789474</v>
      </c>
      <c r="BK11" s="29">
        <v>1167</v>
      </c>
      <c r="BL11" s="106">
        <f t="shared" si="4"/>
        <v>630</v>
      </c>
      <c r="BM11" s="31">
        <f>BL11*100/BK11</f>
        <v>53.984575835475582</v>
      </c>
      <c r="BN11" s="72">
        <v>537</v>
      </c>
      <c r="BO11" s="73">
        <f t="shared" ref="BO11:BO26" si="34">BN11*100/BK11</f>
        <v>46.015424164524418</v>
      </c>
      <c r="BP11" s="29">
        <v>1066</v>
      </c>
      <c r="BQ11" s="106">
        <f t="shared" si="5"/>
        <v>570</v>
      </c>
      <c r="BR11" s="31">
        <f>BQ11*100/BP11</f>
        <v>53.470919324577864</v>
      </c>
      <c r="BS11" s="72">
        <v>496</v>
      </c>
      <c r="BT11" s="73">
        <f t="shared" ref="BT11:BT26" si="35">BS11*100/BP11</f>
        <v>46.529080675422136</v>
      </c>
    </row>
    <row r="12" spans="1:72" ht="26.4" customHeight="1" x14ac:dyDescent="0.25">
      <c r="A12" s="27">
        <f t="shared" ref="A12:A20" si="36">A11+1</f>
        <v>3</v>
      </c>
      <c r="B12" s="28" t="s">
        <v>13</v>
      </c>
      <c r="C12" s="29">
        <v>764</v>
      </c>
      <c r="D12" s="30">
        <f t="shared" si="6"/>
        <v>358</v>
      </c>
      <c r="E12" s="31">
        <f t="shared" si="7"/>
        <v>46.858638743455501</v>
      </c>
      <c r="F12" s="72">
        <v>406</v>
      </c>
      <c r="G12" s="73">
        <f t="shared" si="8"/>
        <v>53.141361256544499</v>
      </c>
      <c r="H12" s="29" t="e">
        <f>Sek_2!#REF!</f>
        <v>#REF!</v>
      </c>
      <c r="I12" s="30" t="e">
        <f t="shared" si="9"/>
        <v>#REF!</v>
      </c>
      <c r="J12" s="31" t="e">
        <f t="shared" si="10"/>
        <v>#REF!</v>
      </c>
      <c r="K12" s="72" t="e">
        <f>Sek_2!#REF!</f>
        <v>#REF!</v>
      </c>
      <c r="L12" s="73" t="e">
        <f t="shared" si="11"/>
        <v>#REF!</v>
      </c>
      <c r="M12" s="29">
        <v>825</v>
      </c>
      <c r="N12" s="30">
        <f t="shared" si="12"/>
        <v>396</v>
      </c>
      <c r="O12" s="31">
        <f t="shared" si="13"/>
        <v>48</v>
      </c>
      <c r="P12" s="72">
        <v>429</v>
      </c>
      <c r="Q12" s="73">
        <f t="shared" si="14"/>
        <v>52</v>
      </c>
      <c r="R12" s="29">
        <v>814</v>
      </c>
      <c r="S12" s="30">
        <f t="shared" si="15"/>
        <v>384</v>
      </c>
      <c r="T12" s="31">
        <f t="shared" si="16"/>
        <v>47.174447174447174</v>
      </c>
      <c r="U12" s="72">
        <v>430</v>
      </c>
      <c r="V12" s="73">
        <f t="shared" si="17"/>
        <v>52.825552825552826</v>
      </c>
      <c r="W12" s="29">
        <v>807</v>
      </c>
      <c r="X12" s="30">
        <f t="shared" si="18"/>
        <v>386</v>
      </c>
      <c r="Y12" s="31">
        <f t="shared" si="19"/>
        <v>47.831474597273854</v>
      </c>
      <c r="Z12" s="72">
        <v>421</v>
      </c>
      <c r="AA12" s="73">
        <f t="shared" si="20"/>
        <v>52.168525402726146</v>
      </c>
      <c r="AB12" s="29">
        <v>825</v>
      </c>
      <c r="AC12" s="30">
        <f t="shared" si="21"/>
        <v>400</v>
      </c>
      <c r="AD12" s="31">
        <f t="shared" si="22"/>
        <v>48.484848484848484</v>
      </c>
      <c r="AE12" s="72">
        <v>425</v>
      </c>
      <c r="AF12" s="86">
        <f t="shared" si="23"/>
        <v>51.515151515151516</v>
      </c>
      <c r="AG12" s="29">
        <v>805</v>
      </c>
      <c r="AH12" s="30">
        <f t="shared" si="24"/>
        <v>391</v>
      </c>
      <c r="AI12" s="31">
        <f t="shared" si="25"/>
        <v>48.571428571428569</v>
      </c>
      <c r="AJ12" s="72">
        <v>414</v>
      </c>
      <c r="AK12" s="73">
        <f t="shared" si="26"/>
        <v>51.428571428571431</v>
      </c>
      <c r="AL12" s="29">
        <v>804</v>
      </c>
      <c r="AM12" s="30">
        <f t="shared" si="27"/>
        <v>404</v>
      </c>
      <c r="AN12" s="31">
        <f t="shared" si="28"/>
        <v>50.24875621890547</v>
      </c>
      <c r="AO12" s="72">
        <v>400</v>
      </c>
      <c r="AP12" s="73">
        <f t="shared" si="29"/>
        <v>49.75124378109453</v>
      </c>
      <c r="AQ12" s="29">
        <v>805</v>
      </c>
      <c r="AR12" s="30">
        <f t="shared" si="0"/>
        <v>407</v>
      </c>
      <c r="AS12" s="31">
        <f t="shared" ref="AS12:AS26" si="37">AR12*100/AQ12</f>
        <v>50.559006211180126</v>
      </c>
      <c r="AT12" s="72">
        <v>398</v>
      </c>
      <c r="AU12" s="73">
        <f t="shared" si="30"/>
        <v>49.440993788819874</v>
      </c>
      <c r="AV12" s="29">
        <v>773</v>
      </c>
      <c r="AW12" s="30">
        <f t="shared" si="1"/>
        <v>381</v>
      </c>
      <c r="AX12" s="31">
        <f t="shared" ref="AX12:AX26" si="38">AW12*100/AV12</f>
        <v>49.288486416558861</v>
      </c>
      <c r="AY12" s="72">
        <v>392</v>
      </c>
      <c r="AZ12" s="73">
        <f t="shared" si="31"/>
        <v>50.711513583441139</v>
      </c>
      <c r="BA12" s="29">
        <v>729</v>
      </c>
      <c r="BB12" s="30">
        <f t="shared" si="2"/>
        <v>341</v>
      </c>
      <c r="BC12" s="31">
        <f t="shared" ref="BC12:BC26" si="39">BB12*100/BA12</f>
        <v>46.776406035665296</v>
      </c>
      <c r="BD12" s="72">
        <v>388</v>
      </c>
      <c r="BE12" s="73">
        <f t="shared" si="32"/>
        <v>53.223593964334704</v>
      </c>
      <c r="BF12" s="29">
        <v>715</v>
      </c>
      <c r="BG12" s="30">
        <f t="shared" si="3"/>
        <v>328</v>
      </c>
      <c r="BH12" s="31">
        <f t="shared" ref="BH12:BH26" si="40">BG12*100/BF12</f>
        <v>45.874125874125873</v>
      </c>
      <c r="BI12" s="72">
        <v>387</v>
      </c>
      <c r="BJ12" s="73">
        <f t="shared" si="33"/>
        <v>54.125874125874127</v>
      </c>
      <c r="BK12" s="29">
        <v>701</v>
      </c>
      <c r="BL12" s="30">
        <f t="shared" si="4"/>
        <v>333</v>
      </c>
      <c r="BM12" s="31">
        <f t="shared" ref="BM12:BM26" si="41">BL12*100/BK12</f>
        <v>47.503566333808841</v>
      </c>
      <c r="BN12" s="72">
        <v>368</v>
      </c>
      <c r="BO12" s="73">
        <f t="shared" si="34"/>
        <v>52.496433666191159</v>
      </c>
      <c r="BP12" s="29">
        <v>667</v>
      </c>
      <c r="BQ12" s="30">
        <f t="shared" si="5"/>
        <v>335</v>
      </c>
      <c r="BR12" s="31">
        <f t="shared" ref="BR12:BR26" si="42">BQ12*100/BP12</f>
        <v>50.224887556221887</v>
      </c>
      <c r="BS12" s="72">
        <v>332</v>
      </c>
      <c r="BT12" s="73">
        <f t="shared" si="35"/>
        <v>49.775112443778113</v>
      </c>
    </row>
    <row r="13" spans="1:72" ht="26.4" customHeight="1" x14ac:dyDescent="0.25">
      <c r="A13" s="27">
        <f t="shared" si="36"/>
        <v>4</v>
      </c>
      <c r="B13" s="35" t="s">
        <v>14</v>
      </c>
      <c r="C13" s="29">
        <v>545</v>
      </c>
      <c r="D13" s="30">
        <f t="shared" si="6"/>
        <v>348</v>
      </c>
      <c r="E13" s="31">
        <f t="shared" si="7"/>
        <v>63.853211009174309</v>
      </c>
      <c r="F13" s="72">
        <v>197</v>
      </c>
      <c r="G13" s="73">
        <f t="shared" si="8"/>
        <v>36.146788990825691</v>
      </c>
      <c r="H13" s="29" t="e">
        <f>Sek_2!#REF!</f>
        <v>#REF!</v>
      </c>
      <c r="I13" s="30" t="e">
        <f t="shared" si="9"/>
        <v>#REF!</v>
      </c>
      <c r="J13" s="31" t="e">
        <f t="shared" si="10"/>
        <v>#REF!</v>
      </c>
      <c r="K13" s="72" t="e">
        <f>Sek_2!#REF!</f>
        <v>#REF!</v>
      </c>
      <c r="L13" s="73" t="e">
        <f t="shared" si="11"/>
        <v>#REF!</v>
      </c>
      <c r="M13" s="29">
        <v>565</v>
      </c>
      <c r="N13" s="30">
        <f t="shared" si="12"/>
        <v>355</v>
      </c>
      <c r="O13" s="31">
        <f t="shared" si="13"/>
        <v>62.831858407079643</v>
      </c>
      <c r="P13" s="72">
        <v>210</v>
      </c>
      <c r="Q13" s="73">
        <f t="shared" si="14"/>
        <v>37.168141592920357</v>
      </c>
      <c r="R13" s="29">
        <v>617</v>
      </c>
      <c r="S13" s="30">
        <f t="shared" si="15"/>
        <v>388</v>
      </c>
      <c r="T13" s="31">
        <f t="shared" si="16"/>
        <v>62.884927066450565</v>
      </c>
      <c r="U13" s="72">
        <v>229</v>
      </c>
      <c r="V13" s="73">
        <f t="shared" si="17"/>
        <v>37.115072933549435</v>
      </c>
      <c r="W13" s="29">
        <v>621</v>
      </c>
      <c r="X13" s="30">
        <f t="shared" si="18"/>
        <v>404</v>
      </c>
      <c r="Y13" s="31">
        <f t="shared" si="19"/>
        <v>65.056360708534626</v>
      </c>
      <c r="Z13" s="72">
        <v>217</v>
      </c>
      <c r="AA13" s="73">
        <f t="shared" si="20"/>
        <v>34.943639291465381</v>
      </c>
      <c r="AB13" s="29">
        <v>732</v>
      </c>
      <c r="AC13" s="30">
        <f t="shared" si="21"/>
        <v>451</v>
      </c>
      <c r="AD13" s="31">
        <f t="shared" si="22"/>
        <v>61.612021857923494</v>
      </c>
      <c r="AE13" s="72">
        <v>281</v>
      </c>
      <c r="AF13" s="86">
        <f t="shared" si="23"/>
        <v>38.387978142076506</v>
      </c>
      <c r="AG13" s="29">
        <v>790</v>
      </c>
      <c r="AH13" s="30">
        <f t="shared" si="24"/>
        <v>488</v>
      </c>
      <c r="AI13" s="31">
        <f t="shared" si="25"/>
        <v>61.77215189873418</v>
      </c>
      <c r="AJ13" s="72">
        <v>302</v>
      </c>
      <c r="AK13" s="73">
        <f t="shared" si="26"/>
        <v>38.22784810126582</v>
      </c>
      <c r="AL13" s="29">
        <v>821</v>
      </c>
      <c r="AM13" s="30">
        <f t="shared" si="27"/>
        <v>501</v>
      </c>
      <c r="AN13" s="31">
        <f t="shared" si="28"/>
        <v>61.023142509135198</v>
      </c>
      <c r="AO13" s="72">
        <v>320</v>
      </c>
      <c r="AP13" s="73">
        <f t="shared" si="29"/>
        <v>38.976857490864802</v>
      </c>
      <c r="AQ13" s="29">
        <v>878</v>
      </c>
      <c r="AR13" s="30">
        <f t="shared" si="0"/>
        <v>537</v>
      </c>
      <c r="AS13" s="31">
        <f t="shared" si="37"/>
        <v>61.161731207289293</v>
      </c>
      <c r="AT13" s="72">
        <v>341</v>
      </c>
      <c r="AU13" s="73">
        <f t="shared" si="30"/>
        <v>38.838268792710707</v>
      </c>
      <c r="AV13" s="29">
        <v>925</v>
      </c>
      <c r="AW13" s="30">
        <f t="shared" si="1"/>
        <v>546</v>
      </c>
      <c r="AX13" s="31">
        <f t="shared" si="38"/>
        <v>59.027027027027025</v>
      </c>
      <c r="AY13" s="72">
        <v>379</v>
      </c>
      <c r="AZ13" s="73">
        <f t="shared" si="31"/>
        <v>40.972972972972975</v>
      </c>
      <c r="BA13" s="29">
        <v>1017</v>
      </c>
      <c r="BB13" s="30">
        <f t="shared" si="2"/>
        <v>589</v>
      </c>
      <c r="BC13" s="31">
        <f t="shared" si="39"/>
        <v>57.915437561455263</v>
      </c>
      <c r="BD13" s="72">
        <v>428</v>
      </c>
      <c r="BE13" s="73">
        <f t="shared" si="32"/>
        <v>42.084562438544737</v>
      </c>
      <c r="BF13" s="29">
        <v>1053</v>
      </c>
      <c r="BG13" s="30">
        <f t="shared" si="3"/>
        <v>617</v>
      </c>
      <c r="BH13" s="31">
        <f t="shared" si="40"/>
        <v>58.59449192782526</v>
      </c>
      <c r="BI13" s="72">
        <v>436</v>
      </c>
      <c r="BJ13" s="73">
        <f t="shared" si="33"/>
        <v>41.40550807217474</v>
      </c>
      <c r="BK13" s="29">
        <v>1058</v>
      </c>
      <c r="BL13" s="30">
        <f t="shared" si="4"/>
        <v>612</v>
      </c>
      <c r="BM13" s="31">
        <f t="shared" si="41"/>
        <v>57.844990548204159</v>
      </c>
      <c r="BN13" s="72">
        <v>446</v>
      </c>
      <c r="BO13" s="73">
        <f t="shared" si="34"/>
        <v>42.155009451795841</v>
      </c>
      <c r="BP13" s="29">
        <v>979</v>
      </c>
      <c r="BQ13" s="30">
        <f t="shared" si="5"/>
        <v>567</v>
      </c>
      <c r="BR13" s="31">
        <f t="shared" si="42"/>
        <v>57.91624106230848</v>
      </c>
      <c r="BS13" s="72">
        <v>412</v>
      </c>
      <c r="BT13" s="73">
        <f t="shared" si="35"/>
        <v>42.08375893769152</v>
      </c>
    </row>
    <row r="14" spans="1:72" ht="26.4" customHeight="1" x14ac:dyDescent="0.25">
      <c r="A14" s="27">
        <f t="shared" si="36"/>
        <v>5</v>
      </c>
      <c r="B14" s="35" t="s">
        <v>15</v>
      </c>
      <c r="C14" s="29">
        <v>895</v>
      </c>
      <c r="D14" s="30">
        <f t="shared" si="6"/>
        <v>414</v>
      </c>
      <c r="E14" s="31">
        <f t="shared" si="7"/>
        <v>46.256983240223462</v>
      </c>
      <c r="F14" s="72">
        <v>481</v>
      </c>
      <c r="G14" s="73">
        <f t="shared" si="8"/>
        <v>53.743016759776538</v>
      </c>
      <c r="H14" s="29" t="e">
        <f>Sek_2!#REF!</f>
        <v>#REF!</v>
      </c>
      <c r="I14" s="30" t="e">
        <f t="shared" si="9"/>
        <v>#REF!</v>
      </c>
      <c r="J14" s="31" t="e">
        <f t="shared" si="10"/>
        <v>#REF!</v>
      </c>
      <c r="K14" s="72" t="e">
        <f>Sek_2!#REF!</f>
        <v>#REF!</v>
      </c>
      <c r="L14" s="73" t="e">
        <f t="shared" si="11"/>
        <v>#REF!</v>
      </c>
      <c r="M14" s="29">
        <v>861</v>
      </c>
      <c r="N14" s="30">
        <f t="shared" si="12"/>
        <v>414</v>
      </c>
      <c r="O14" s="31">
        <f t="shared" si="13"/>
        <v>48.083623693379792</v>
      </c>
      <c r="P14" s="72">
        <v>447</v>
      </c>
      <c r="Q14" s="73">
        <f t="shared" si="14"/>
        <v>51.916376306620208</v>
      </c>
      <c r="R14" s="29">
        <v>898</v>
      </c>
      <c r="S14" s="30">
        <f t="shared" si="15"/>
        <v>421</v>
      </c>
      <c r="T14" s="31">
        <f t="shared" si="16"/>
        <v>46.881959910913139</v>
      </c>
      <c r="U14" s="72">
        <v>477</v>
      </c>
      <c r="V14" s="73">
        <f t="shared" si="17"/>
        <v>53.118040089086861</v>
      </c>
      <c r="W14" s="29">
        <v>942</v>
      </c>
      <c r="X14" s="30">
        <f t="shared" si="18"/>
        <v>427</v>
      </c>
      <c r="Y14" s="31">
        <f t="shared" si="19"/>
        <v>45.329087048832271</v>
      </c>
      <c r="Z14" s="72">
        <v>515</v>
      </c>
      <c r="AA14" s="73">
        <f t="shared" si="20"/>
        <v>54.670912951167729</v>
      </c>
      <c r="AB14" s="29">
        <v>989</v>
      </c>
      <c r="AC14" s="30">
        <f t="shared" si="21"/>
        <v>460</v>
      </c>
      <c r="AD14" s="31">
        <f t="shared" si="22"/>
        <v>46.511627906976742</v>
      </c>
      <c r="AE14" s="72">
        <v>529</v>
      </c>
      <c r="AF14" s="86">
        <f t="shared" si="23"/>
        <v>53.488372093023258</v>
      </c>
      <c r="AG14" s="29">
        <v>1013</v>
      </c>
      <c r="AH14" s="30">
        <f t="shared" si="24"/>
        <v>476</v>
      </c>
      <c r="AI14" s="31">
        <f t="shared" si="25"/>
        <v>46.989141164856861</v>
      </c>
      <c r="AJ14" s="72">
        <v>537</v>
      </c>
      <c r="AK14" s="73">
        <f t="shared" si="26"/>
        <v>53.010858835143139</v>
      </c>
      <c r="AL14" s="29">
        <v>1061</v>
      </c>
      <c r="AM14" s="30">
        <f t="shared" si="27"/>
        <v>502</v>
      </c>
      <c r="AN14" s="31">
        <f t="shared" si="28"/>
        <v>47.313854853911401</v>
      </c>
      <c r="AO14" s="72">
        <v>559</v>
      </c>
      <c r="AP14" s="73">
        <f t="shared" si="29"/>
        <v>52.686145146088599</v>
      </c>
      <c r="AQ14" s="29">
        <v>1108</v>
      </c>
      <c r="AR14" s="30">
        <f t="shared" si="0"/>
        <v>530</v>
      </c>
      <c r="AS14" s="31">
        <f t="shared" si="37"/>
        <v>47.833935018050539</v>
      </c>
      <c r="AT14" s="72">
        <v>578</v>
      </c>
      <c r="AU14" s="73">
        <f t="shared" si="30"/>
        <v>52.166064981949461</v>
      </c>
      <c r="AV14" s="29">
        <v>1135</v>
      </c>
      <c r="AW14" s="30">
        <f t="shared" si="1"/>
        <v>542</v>
      </c>
      <c r="AX14" s="31">
        <f t="shared" si="38"/>
        <v>47.753303964757713</v>
      </c>
      <c r="AY14" s="72">
        <v>593</v>
      </c>
      <c r="AZ14" s="73">
        <f t="shared" si="31"/>
        <v>52.246696035242287</v>
      </c>
      <c r="BA14" s="29">
        <v>1159</v>
      </c>
      <c r="BB14" s="30">
        <f t="shared" si="2"/>
        <v>540</v>
      </c>
      <c r="BC14" s="31">
        <f t="shared" si="39"/>
        <v>46.591889559965487</v>
      </c>
      <c r="BD14" s="72">
        <v>619</v>
      </c>
      <c r="BE14" s="73">
        <f t="shared" si="32"/>
        <v>53.408110440034513</v>
      </c>
      <c r="BF14" s="29">
        <v>1141</v>
      </c>
      <c r="BG14" s="30">
        <f t="shared" si="3"/>
        <v>519</v>
      </c>
      <c r="BH14" s="31">
        <f t="shared" si="40"/>
        <v>45.486415425065729</v>
      </c>
      <c r="BI14" s="72">
        <v>622</v>
      </c>
      <c r="BJ14" s="73">
        <f t="shared" si="33"/>
        <v>54.513584574934271</v>
      </c>
      <c r="BK14" s="29">
        <v>1132</v>
      </c>
      <c r="BL14" s="30">
        <f t="shared" si="4"/>
        <v>515</v>
      </c>
      <c r="BM14" s="31">
        <f t="shared" si="41"/>
        <v>45.494699646643113</v>
      </c>
      <c r="BN14" s="72">
        <v>617</v>
      </c>
      <c r="BO14" s="73">
        <f t="shared" si="34"/>
        <v>54.505300353356887</v>
      </c>
      <c r="BP14" s="29">
        <v>1045</v>
      </c>
      <c r="BQ14" s="30">
        <f t="shared" si="5"/>
        <v>477</v>
      </c>
      <c r="BR14" s="31">
        <f t="shared" si="42"/>
        <v>45.645933014354064</v>
      </c>
      <c r="BS14" s="72">
        <v>568</v>
      </c>
      <c r="BT14" s="73">
        <f t="shared" si="35"/>
        <v>54.354066985645936</v>
      </c>
    </row>
    <row r="15" spans="1:72" ht="26.4" customHeight="1" x14ac:dyDescent="0.25">
      <c r="A15" s="27">
        <f t="shared" si="36"/>
        <v>6</v>
      </c>
      <c r="B15" s="28" t="s">
        <v>16</v>
      </c>
      <c r="C15" s="29">
        <v>876</v>
      </c>
      <c r="D15" s="30">
        <f t="shared" si="6"/>
        <v>387</v>
      </c>
      <c r="E15" s="31">
        <f t="shared" si="7"/>
        <v>44.178082191780824</v>
      </c>
      <c r="F15" s="72">
        <v>489</v>
      </c>
      <c r="G15" s="73">
        <f t="shared" si="8"/>
        <v>55.821917808219176</v>
      </c>
      <c r="H15" s="29" t="e">
        <f>Sek_2!#REF!</f>
        <v>#REF!</v>
      </c>
      <c r="I15" s="30" t="e">
        <f t="shared" si="9"/>
        <v>#REF!</v>
      </c>
      <c r="J15" s="31" t="e">
        <f t="shared" si="10"/>
        <v>#REF!</v>
      </c>
      <c r="K15" s="72" t="e">
        <f>Sek_2!#REF!</f>
        <v>#REF!</v>
      </c>
      <c r="L15" s="73" t="e">
        <f t="shared" si="11"/>
        <v>#REF!</v>
      </c>
      <c r="M15" s="29">
        <v>901</v>
      </c>
      <c r="N15" s="30">
        <f t="shared" si="12"/>
        <v>417</v>
      </c>
      <c r="O15" s="31">
        <f t="shared" si="13"/>
        <v>46.281908990011097</v>
      </c>
      <c r="P15" s="72">
        <v>484</v>
      </c>
      <c r="Q15" s="73">
        <f t="shared" si="14"/>
        <v>53.718091009988903</v>
      </c>
      <c r="R15" s="29">
        <v>919</v>
      </c>
      <c r="S15" s="30">
        <f t="shared" si="15"/>
        <v>434</v>
      </c>
      <c r="T15" s="31">
        <f t="shared" si="16"/>
        <v>47.225244831338408</v>
      </c>
      <c r="U15" s="72">
        <v>485</v>
      </c>
      <c r="V15" s="73">
        <f t="shared" si="17"/>
        <v>52.774755168661592</v>
      </c>
      <c r="W15" s="29">
        <v>952</v>
      </c>
      <c r="X15" s="30">
        <f t="shared" si="18"/>
        <v>452</v>
      </c>
      <c r="Y15" s="31">
        <f t="shared" si="19"/>
        <v>47.478991596638657</v>
      </c>
      <c r="Z15" s="72">
        <v>500</v>
      </c>
      <c r="AA15" s="73">
        <f t="shared" si="20"/>
        <v>52.521008403361343</v>
      </c>
      <c r="AB15" s="29">
        <v>931</v>
      </c>
      <c r="AC15" s="30">
        <f t="shared" si="21"/>
        <v>439</v>
      </c>
      <c r="AD15" s="31">
        <f t="shared" si="22"/>
        <v>47.153598281417828</v>
      </c>
      <c r="AE15" s="72">
        <v>492</v>
      </c>
      <c r="AF15" s="86">
        <f t="shared" si="23"/>
        <v>52.846401718582172</v>
      </c>
      <c r="AG15" s="29">
        <v>946</v>
      </c>
      <c r="AH15" s="30">
        <f t="shared" si="24"/>
        <v>438</v>
      </c>
      <c r="AI15" s="31">
        <f t="shared" si="25"/>
        <v>46.300211416490484</v>
      </c>
      <c r="AJ15" s="72">
        <v>508</v>
      </c>
      <c r="AK15" s="73">
        <f t="shared" si="26"/>
        <v>53.699788583509516</v>
      </c>
      <c r="AL15" s="29">
        <v>952</v>
      </c>
      <c r="AM15" s="30">
        <f t="shared" si="27"/>
        <v>441</v>
      </c>
      <c r="AN15" s="31">
        <f t="shared" si="28"/>
        <v>46.323529411764703</v>
      </c>
      <c r="AO15" s="72">
        <v>511</v>
      </c>
      <c r="AP15" s="73">
        <f t="shared" si="29"/>
        <v>53.676470588235297</v>
      </c>
      <c r="AQ15" s="29">
        <v>958</v>
      </c>
      <c r="AR15" s="30">
        <f t="shared" si="0"/>
        <v>441</v>
      </c>
      <c r="AS15" s="31">
        <f t="shared" si="37"/>
        <v>46.033402922755741</v>
      </c>
      <c r="AT15" s="72">
        <v>517</v>
      </c>
      <c r="AU15" s="73">
        <f t="shared" si="30"/>
        <v>53.966597077244259</v>
      </c>
      <c r="AV15" s="29">
        <v>964</v>
      </c>
      <c r="AW15" s="30">
        <f t="shared" si="1"/>
        <v>446</v>
      </c>
      <c r="AX15" s="31">
        <f t="shared" si="38"/>
        <v>46.265560165975103</v>
      </c>
      <c r="AY15" s="72">
        <v>518</v>
      </c>
      <c r="AZ15" s="73">
        <f t="shared" si="31"/>
        <v>53.734439834024897</v>
      </c>
      <c r="BA15" s="29">
        <v>932</v>
      </c>
      <c r="BB15" s="30">
        <f t="shared" si="2"/>
        <v>430</v>
      </c>
      <c r="BC15" s="31">
        <f t="shared" si="39"/>
        <v>46.137339055793994</v>
      </c>
      <c r="BD15" s="72">
        <v>502</v>
      </c>
      <c r="BE15" s="73">
        <f t="shared" si="32"/>
        <v>53.862660944206006</v>
      </c>
      <c r="BF15" s="29">
        <v>955</v>
      </c>
      <c r="BG15" s="30">
        <f t="shared" si="3"/>
        <v>451</v>
      </c>
      <c r="BH15" s="31">
        <f t="shared" si="40"/>
        <v>47.225130890052355</v>
      </c>
      <c r="BI15" s="72">
        <v>504</v>
      </c>
      <c r="BJ15" s="73">
        <f t="shared" si="33"/>
        <v>52.774869109947645</v>
      </c>
      <c r="BK15" s="29">
        <v>949</v>
      </c>
      <c r="BL15" s="30">
        <f t="shared" si="4"/>
        <v>458</v>
      </c>
      <c r="BM15" s="31">
        <f t="shared" si="41"/>
        <v>48.261327713382506</v>
      </c>
      <c r="BN15" s="72">
        <v>491</v>
      </c>
      <c r="BO15" s="73">
        <f t="shared" si="34"/>
        <v>51.738672286617494</v>
      </c>
      <c r="BP15" s="29">
        <v>880</v>
      </c>
      <c r="BQ15" s="30">
        <f t="shared" si="5"/>
        <v>450</v>
      </c>
      <c r="BR15" s="31">
        <f t="shared" si="42"/>
        <v>51.136363636363633</v>
      </c>
      <c r="BS15" s="72">
        <v>430</v>
      </c>
      <c r="BT15" s="73">
        <f t="shared" si="35"/>
        <v>48.863636363636367</v>
      </c>
    </row>
    <row r="16" spans="1:72" ht="26.4" customHeight="1" x14ac:dyDescent="0.25">
      <c r="A16" s="27">
        <f t="shared" si="36"/>
        <v>7</v>
      </c>
      <c r="B16" s="28" t="s">
        <v>34</v>
      </c>
      <c r="C16" s="29">
        <v>587</v>
      </c>
      <c r="D16" s="30">
        <f t="shared" si="6"/>
        <v>303</v>
      </c>
      <c r="E16" s="31">
        <f t="shared" si="7"/>
        <v>51.618398637137993</v>
      </c>
      <c r="F16" s="72">
        <v>284</v>
      </c>
      <c r="G16" s="73">
        <f t="shared" si="8"/>
        <v>48.381601362862007</v>
      </c>
      <c r="H16" s="29" t="e">
        <f>Sek_2!#REF!</f>
        <v>#REF!</v>
      </c>
      <c r="I16" s="30" t="e">
        <f t="shared" si="9"/>
        <v>#REF!</v>
      </c>
      <c r="J16" s="31" t="e">
        <f t="shared" si="10"/>
        <v>#REF!</v>
      </c>
      <c r="K16" s="72" t="e">
        <f>Sek_2!#REF!</f>
        <v>#REF!</v>
      </c>
      <c r="L16" s="73" t="e">
        <f t="shared" si="11"/>
        <v>#REF!</v>
      </c>
      <c r="M16" s="29">
        <v>491</v>
      </c>
      <c r="N16" s="30">
        <f t="shared" si="12"/>
        <v>270</v>
      </c>
      <c r="O16" s="31">
        <f t="shared" si="13"/>
        <v>54.989816700611001</v>
      </c>
      <c r="P16" s="72">
        <v>221</v>
      </c>
      <c r="Q16" s="73">
        <f t="shared" si="14"/>
        <v>45.010183299388999</v>
      </c>
      <c r="R16" s="29">
        <v>457</v>
      </c>
      <c r="S16" s="30">
        <f t="shared" si="15"/>
        <v>243</v>
      </c>
      <c r="T16" s="31">
        <f t="shared" si="16"/>
        <v>53.172866520787743</v>
      </c>
      <c r="U16" s="72">
        <v>214</v>
      </c>
      <c r="V16" s="73">
        <f t="shared" si="17"/>
        <v>46.827133479212257</v>
      </c>
      <c r="W16" s="29">
        <v>482</v>
      </c>
      <c r="X16" s="30">
        <f t="shared" si="18"/>
        <v>250</v>
      </c>
      <c r="Y16" s="31">
        <f t="shared" si="19"/>
        <v>51.867219917012449</v>
      </c>
      <c r="Z16" s="72">
        <v>232</v>
      </c>
      <c r="AA16" s="73">
        <f t="shared" si="20"/>
        <v>48.132780082987551</v>
      </c>
      <c r="AB16" s="29">
        <v>526</v>
      </c>
      <c r="AC16" s="30">
        <f t="shared" si="21"/>
        <v>256</v>
      </c>
      <c r="AD16" s="31">
        <f t="shared" si="22"/>
        <v>48.669201520912544</v>
      </c>
      <c r="AE16" s="72">
        <v>270</v>
      </c>
      <c r="AF16" s="86">
        <f t="shared" si="23"/>
        <v>51.330798479087456</v>
      </c>
      <c r="AG16" s="29">
        <v>563</v>
      </c>
      <c r="AH16" s="30">
        <f t="shared" si="24"/>
        <v>281</v>
      </c>
      <c r="AI16" s="31">
        <f t="shared" si="25"/>
        <v>49.911190053285971</v>
      </c>
      <c r="AJ16" s="72">
        <v>282</v>
      </c>
      <c r="AK16" s="73">
        <f t="shared" si="26"/>
        <v>50.088809946714029</v>
      </c>
      <c r="AL16" s="29">
        <v>534</v>
      </c>
      <c r="AM16" s="30">
        <f t="shared" si="27"/>
        <v>283</v>
      </c>
      <c r="AN16" s="31">
        <f t="shared" si="28"/>
        <v>52.99625468164794</v>
      </c>
      <c r="AO16" s="72">
        <v>251</v>
      </c>
      <c r="AP16" s="73">
        <f t="shared" si="29"/>
        <v>47.00374531835206</v>
      </c>
      <c r="AQ16" s="29">
        <v>506</v>
      </c>
      <c r="AR16" s="30">
        <f t="shared" si="0"/>
        <v>257</v>
      </c>
      <c r="AS16" s="31">
        <f t="shared" si="37"/>
        <v>50.790513833992094</v>
      </c>
      <c r="AT16" s="72">
        <v>249</v>
      </c>
      <c r="AU16" s="73">
        <f t="shared" si="30"/>
        <v>49.209486166007906</v>
      </c>
      <c r="AV16" s="29">
        <v>538</v>
      </c>
      <c r="AW16" s="30">
        <f t="shared" si="1"/>
        <v>276</v>
      </c>
      <c r="AX16" s="31">
        <f t="shared" si="38"/>
        <v>51.301115241635685</v>
      </c>
      <c r="AY16" s="72">
        <v>262</v>
      </c>
      <c r="AZ16" s="73">
        <f t="shared" si="31"/>
        <v>48.698884758364315</v>
      </c>
      <c r="BA16" s="29">
        <v>553</v>
      </c>
      <c r="BB16" s="30">
        <f t="shared" si="2"/>
        <v>282</v>
      </c>
      <c r="BC16" s="31">
        <f t="shared" si="39"/>
        <v>50.994575045207959</v>
      </c>
      <c r="BD16" s="72">
        <v>271</v>
      </c>
      <c r="BE16" s="73">
        <f t="shared" si="32"/>
        <v>49.005424954792041</v>
      </c>
      <c r="BF16" s="29">
        <v>607</v>
      </c>
      <c r="BG16" s="30">
        <f t="shared" si="3"/>
        <v>312</v>
      </c>
      <c r="BH16" s="31">
        <f t="shared" si="40"/>
        <v>51.4003294892916</v>
      </c>
      <c r="BI16" s="72">
        <v>295</v>
      </c>
      <c r="BJ16" s="73">
        <f t="shared" si="33"/>
        <v>48.5996705107084</v>
      </c>
      <c r="BK16" s="29">
        <v>615</v>
      </c>
      <c r="BL16" s="30">
        <f t="shared" si="4"/>
        <v>310</v>
      </c>
      <c r="BM16" s="31">
        <f t="shared" si="41"/>
        <v>50.40650406504065</v>
      </c>
      <c r="BN16" s="72">
        <v>305</v>
      </c>
      <c r="BO16" s="73">
        <f t="shared" si="34"/>
        <v>49.59349593495935</v>
      </c>
      <c r="BP16" s="29">
        <v>581</v>
      </c>
      <c r="BQ16" s="30">
        <f t="shared" si="5"/>
        <v>286</v>
      </c>
      <c r="BR16" s="31">
        <f t="shared" si="42"/>
        <v>49.225473321858864</v>
      </c>
      <c r="BS16" s="72">
        <v>295</v>
      </c>
      <c r="BT16" s="73">
        <f t="shared" si="35"/>
        <v>50.774526678141136</v>
      </c>
    </row>
    <row r="17" spans="1:72" ht="26.4" customHeight="1" x14ac:dyDescent="0.25">
      <c r="A17" s="27">
        <f t="shared" si="36"/>
        <v>8</v>
      </c>
      <c r="B17" s="35" t="s">
        <v>18</v>
      </c>
      <c r="C17" s="29">
        <v>722</v>
      </c>
      <c r="D17" s="30">
        <f t="shared" si="6"/>
        <v>342</v>
      </c>
      <c r="E17" s="31">
        <f t="shared" si="7"/>
        <v>47.368421052631582</v>
      </c>
      <c r="F17" s="72">
        <v>380</v>
      </c>
      <c r="G17" s="73">
        <f t="shared" si="8"/>
        <v>52.631578947368418</v>
      </c>
      <c r="H17" s="29" t="e">
        <f>Sek_2!#REF!</f>
        <v>#REF!</v>
      </c>
      <c r="I17" s="30" t="e">
        <f t="shared" si="9"/>
        <v>#REF!</v>
      </c>
      <c r="J17" s="31" t="e">
        <f t="shared" si="10"/>
        <v>#REF!</v>
      </c>
      <c r="K17" s="72" t="e">
        <f>Sek_2!#REF!</f>
        <v>#REF!</v>
      </c>
      <c r="L17" s="73" t="e">
        <f t="shared" si="11"/>
        <v>#REF!</v>
      </c>
      <c r="M17" s="29">
        <v>863</v>
      </c>
      <c r="N17" s="30">
        <f t="shared" si="12"/>
        <v>388</v>
      </c>
      <c r="O17" s="31">
        <f t="shared" si="13"/>
        <v>44.959443800695247</v>
      </c>
      <c r="P17" s="72">
        <v>475</v>
      </c>
      <c r="Q17" s="73">
        <f t="shared" si="14"/>
        <v>55.040556199304753</v>
      </c>
      <c r="R17" s="29">
        <v>880</v>
      </c>
      <c r="S17" s="30">
        <f t="shared" si="15"/>
        <v>400</v>
      </c>
      <c r="T17" s="31">
        <f t="shared" si="16"/>
        <v>45.454545454545453</v>
      </c>
      <c r="U17" s="72">
        <v>480</v>
      </c>
      <c r="V17" s="73">
        <f t="shared" si="17"/>
        <v>54.545454545454547</v>
      </c>
      <c r="W17" s="29">
        <v>931</v>
      </c>
      <c r="X17" s="30">
        <f t="shared" si="18"/>
        <v>421</v>
      </c>
      <c r="Y17" s="31">
        <f t="shared" si="19"/>
        <v>45.220193340494092</v>
      </c>
      <c r="Z17" s="72">
        <v>510</v>
      </c>
      <c r="AA17" s="73">
        <f t="shared" si="20"/>
        <v>54.779806659505908</v>
      </c>
      <c r="AB17" s="29">
        <v>938</v>
      </c>
      <c r="AC17" s="30">
        <f t="shared" si="21"/>
        <v>424</v>
      </c>
      <c r="AD17" s="31">
        <f t="shared" si="22"/>
        <v>45.202558635394453</v>
      </c>
      <c r="AE17" s="72">
        <v>514</v>
      </c>
      <c r="AF17" s="86">
        <f t="shared" si="23"/>
        <v>54.797441364605547</v>
      </c>
      <c r="AG17" s="29">
        <v>964</v>
      </c>
      <c r="AH17" s="30">
        <f t="shared" si="24"/>
        <v>435</v>
      </c>
      <c r="AI17" s="31">
        <f t="shared" si="25"/>
        <v>45.124481327800829</v>
      </c>
      <c r="AJ17" s="72">
        <v>529</v>
      </c>
      <c r="AK17" s="73">
        <f t="shared" si="26"/>
        <v>54.875518672199171</v>
      </c>
      <c r="AL17" s="29">
        <v>986</v>
      </c>
      <c r="AM17" s="30">
        <f t="shared" si="27"/>
        <v>431</v>
      </c>
      <c r="AN17" s="31">
        <f t="shared" si="28"/>
        <v>43.711967545638949</v>
      </c>
      <c r="AO17" s="72">
        <v>555</v>
      </c>
      <c r="AP17" s="73">
        <f t="shared" si="29"/>
        <v>56.288032454361051</v>
      </c>
      <c r="AQ17" s="29">
        <v>1005</v>
      </c>
      <c r="AR17" s="30">
        <f t="shared" si="0"/>
        <v>435</v>
      </c>
      <c r="AS17" s="31">
        <f t="shared" si="37"/>
        <v>43.28358208955224</v>
      </c>
      <c r="AT17" s="72">
        <v>570</v>
      </c>
      <c r="AU17" s="73">
        <f t="shared" si="30"/>
        <v>56.71641791044776</v>
      </c>
      <c r="AV17" s="29">
        <v>1015</v>
      </c>
      <c r="AW17" s="30">
        <f t="shared" si="1"/>
        <v>436</v>
      </c>
      <c r="AX17" s="31">
        <f t="shared" si="38"/>
        <v>42.955665024630541</v>
      </c>
      <c r="AY17" s="72">
        <v>579</v>
      </c>
      <c r="AZ17" s="73">
        <f t="shared" si="31"/>
        <v>57.044334975369459</v>
      </c>
      <c r="BA17" s="29">
        <v>1044</v>
      </c>
      <c r="BB17" s="30">
        <f t="shared" si="2"/>
        <v>452</v>
      </c>
      <c r="BC17" s="31">
        <f t="shared" si="39"/>
        <v>43.29501915708812</v>
      </c>
      <c r="BD17" s="72">
        <v>592</v>
      </c>
      <c r="BE17" s="73">
        <f t="shared" si="32"/>
        <v>56.70498084291188</v>
      </c>
      <c r="BF17" s="29">
        <v>1078</v>
      </c>
      <c r="BG17" s="30">
        <f t="shared" si="3"/>
        <v>488</v>
      </c>
      <c r="BH17" s="31">
        <f t="shared" si="40"/>
        <v>45.269016697588128</v>
      </c>
      <c r="BI17" s="72">
        <v>590</v>
      </c>
      <c r="BJ17" s="73">
        <f t="shared" si="33"/>
        <v>54.730983302411872</v>
      </c>
      <c r="BK17" s="29">
        <v>1061</v>
      </c>
      <c r="BL17" s="30">
        <f t="shared" si="4"/>
        <v>499</v>
      </c>
      <c r="BM17" s="31">
        <f t="shared" si="41"/>
        <v>47.031102733270501</v>
      </c>
      <c r="BN17" s="72">
        <v>562</v>
      </c>
      <c r="BO17" s="73">
        <f t="shared" si="34"/>
        <v>52.968897266729499</v>
      </c>
      <c r="BP17" s="29">
        <v>977</v>
      </c>
      <c r="BQ17" s="30">
        <f t="shared" si="5"/>
        <v>470</v>
      </c>
      <c r="BR17" s="31">
        <f t="shared" si="42"/>
        <v>48.106448311156605</v>
      </c>
      <c r="BS17" s="72">
        <v>507</v>
      </c>
      <c r="BT17" s="73">
        <f t="shared" si="35"/>
        <v>51.893551688843395</v>
      </c>
    </row>
    <row r="18" spans="1:72" ht="26.4" customHeight="1" x14ac:dyDescent="0.25">
      <c r="A18" s="27">
        <f t="shared" si="36"/>
        <v>9</v>
      </c>
      <c r="B18" s="35" t="s">
        <v>19</v>
      </c>
      <c r="C18" s="29">
        <v>618</v>
      </c>
      <c r="D18" s="30">
        <f t="shared" si="6"/>
        <v>301</v>
      </c>
      <c r="E18" s="31">
        <f t="shared" si="7"/>
        <v>48.70550161812298</v>
      </c>
      <c r="F18" s="72">
        <v>317</v>
      </c>
      <c r="G18" s="73">
        <f t="shared" si="8"/>
        <v>51.29449838187702</v>
      </c>
      <c r="H18" s="29" t="e">
        <f>Sek_2!#REF!</f>
        <v>#REF!</v>
      </c>
      <c r="I18" s="30" t="e">
        <f t="shared" si="9"/>
        <v>#REF!</v>
      </c>
      <c r="J18" s="31" t="e">
        <f t="shared" si="10"/>
        <v>#REF!</v>
      </c>
      <c r="K18" s="72" t="e">
        <f>Sek_2!#REF!</f>
        <v>#REF!</v>
      </c>
      <c r="L18" s="73" t="e">
        <f t="shared" si="11"/>
        <v>#REF!</v>
      </c>
      <c r="M18" s="29">
        <v>594</v>
      </c>
      <c r="N18" s="30">
        <f t="shared" si="12"/>
        <v>333</v>
      </c>
      <c r="O18" s="31">
        <f t="shared" si="13"/>
        <v>56.060606060606062</v>
      </c>
      <c r="P18" s="72">
        <v>261</v>
      </c>
      <c r="Q18" s="73">
        <f t="shared" si="14"/>
        <v>43.939393939393938</v>
      </c>
      <c r="R18" s="29">
        <v>619</v>
      </c>
      <c r="S18" s="30">
        <f t="shared" si="15"/>
        <v>356</v>
      </c>
      <c r="T18" s="31">
        <f t="shared" si="16"/>
        <v>57.512116316639741</v>
      </c>
      <c r="U18" s="72">
        <v>263</v>
      </c>
      <c r="V18" s="73">
        <f t="shared" si="17"/>
        <v>42.487883683360259</v>
      </c>
      <c r="W18" s="29">
        <v>615</v>
      </c>
      <c r="X18" s="30">
        <f t="shared" si="18"/>
        <v>354</v>
      </c>
      <c r="Y18" s="31">
        <f t="shared" si="19"/>
        <v>57.560975609756099</v>
      </c>
      <c r="Z18" s="72">
        <v>261</v>
      </c>
      <c r="AA18" s="73">
        <f t="shared" si="20"/>
        <v>42.439024390243901</v>
      </c>
      <c r="AB18" s="29">
        <v>636</v>
      </c>
      <c r="AC18" s="30">
        <f t="shared" si="21"/>
        <v>380</v>
      </c>
      <c r="AD18" s="31">
        <f t="shared" si="22"/>
        <v>59.748427672955977</v>
      </c>
      <c r="AE18" s="72">
        <v>256</v>
      </c>
      <c r="AF18" s="86">
        <f t="shared" si="23"/>
        <v>40.251572327044023</v>
      </c>
      <c r="AG18" s="29">
        <v>657</v>
      </c>
      <c r="AH18" s="30">
        <f t="shared" si="24"/>
        <v>387</v>
      </c>
      <c r="AI18" s="31">
        <f t="shared" si="25"/>
        <v>58.904109589041099</v>
      </c>
      <c r="AJ18" s="72">
        <v>270</v>
      </c>
      <c r="AK18" s="73">
        <f t="shared" si="26"/>
        <v>41.095890410958901</v>
      </c>
      <c r="AL18" s="29">
        <v>667</v>
      </c>
      <c r="AM18" s="30">
        <f t="shared" si="27"/>
        <v>389</v>
      </c>
      <c r="AN18" s="31">
        <f t="shared" si="28"/>
        <v>58.320839580209892</v>
      </c>
      <c r="AO18" s="72">
        <v>278</v>
      </c>
      <c r="AP18" s="73">
        <f t="shared" si="29"/>
        <v>41.679160419790108</v>
      </c>
      <c r="AQ18" s="29">
        <v>675</v>
      </c>
      <c r="AR18" s="30">
        <f t="shared" si="0"/>
        <v>389</v>
      </c>
      <c r="AS18" s="31">
        <f t="shared" si="37"/>
        <v>57.629629629629626</v>
      </c>
      <c r="AT18" s="72">
        <v>286</v>
      </c>
      <c r="AU18" s="73">
        <f t="shared" si="30"/>
        <v>42.370370370370374</v>
      </c>
      <c r="AV18" s="29">
        <v>678</v>
      </c>
      <c r="AW18" s="30">
        <f t="shared" si="1"/>
        <v>389</v>
      </c>
      <c r="AX18" s="31">
        <f t="shared" si="38"/>
        <v>57.37463126843658</v>
      </c>
      <c r="AY18" s="72">
        <v>289</v>
      </c>
      <c r="AZ18" s="73">
        <f t="shared" si="31"/>
        <v>42.62536873156342</v>
      </c>
      <c r="BA18" s="29">
        <v>723</v>
      </c>
      <c r="BB18" s="30">
        <f t="shared" si="2"/>
        <v>413</v>
      </c>
      <c r="BC18" s="31">
        <f t="shared" si="39"/>
        <v>57.123098201936379</v>
      </c>
      <c r="BD18" s="72">
        <v>310</v>
      </c>
      <c r="BE18" s="73">
        <f t="shared" si="32"/>
        <v>42.876901798063621</v>
      </c>
      <c r="BF18" s="29">
        <v>728</v>
      </c>
      <c r="BG18" s="30">
        <f t="shared" si="3"/>
        <v>416</v>
      </c>
      <c r="BH18" s="31">
        <f t="shared" si="40"/>
        <v>57.142857142857146</v>
      </c>
      <c r="BI18" s="72">
        <v>312</v>
      </c>
      <c r="BJ18" s="73">
        <f t="shared" si="33"/>
        <v>42.857142857142854</v>
      </c>
      <c r="BK18" s="29">
        <v>736</v>
      </c>
      <c r="BL18" s="30">
        <f t="shared" si="4"/>
        <v>415</v>
      </c>
      <c r="BM18" s="31">
        <f t="shared" si="41"/>
        <v>56.385869565217391</v>
      </c>
      <c r="BN18" s="72">
        <v>321</v>
      </c>
      <c r="BO18" s="73">
        <f t="shared" si="34"/>
        <v>43.614130434782609</v>
      </c>
      <c r="BP18" s="29">
        <v>672</v>
      </c>
      <c r="BQ18" s="30">
        <f t="shared" si="5"/>
        <v>388</v>
      </c>
      <c r="BR18" s="31">
        <f t="shared" si="42"/>
        <v>57.738095238095241</v>
      </c>
      <c r="BS18" s="72">
        <v>284</v>
      </c>
      <c r="BT18" s="73">
        <f t="shared" si="35"/>
        <v>42.261904761904759</v>
      </c>
    </row>
    <row r="19" spans="1:72" ht="26.4" customHeight="1" x14ac:dyDescent="0.25">
      <c r="A19" s="27">
        <f t="shared" si="36"/>
        <v>10</v>
      </c>
      <c r="B19" s="35" t="s">
        <v>20</v>
      </c>
      <c r="C19" s="29">
        <v>633</v>
      </c>
      <c r="D19" s="30">
        <f t="shared" si="6"/>
        <v>364</v>
      </c>
      <c r="E19" s="31">
        <f t="shared" si="7"/>
        <v>57.50394944707741</v>
      </c>
      <c r="F19" s="72">
        <v>269</v>
      </c>
      <c r="G19" s="73">
        <f t="shared" si="8"/>
        <v>42.49605055292259</v>
      </c>
      <c r="H19" s="29" t="e">
        <f>Sek_2!#REF!</f>
        <v>#REF!</v>
      </c>
      <c r="I19" s="30" t="e">
        <f t="shared" si="9"/>
        <v>#REF!</v>
      </c>
      <c r="J19" s="31" t="e">
        <f t="shared" si="10"/>
        <v>#REF!</v>
      </c>
      <c r="K19" s="72" t="e">
        <f>Sek_2!#REF!</f>
        <v>#REF!</v>
      </c>
      <c r="L19" s="73" t="e">
        <f t="shared" si="11"/>
        <v>#REF!</v>
      </c>
      <c r="M19" s="29">
        <v>650</v>
      </c>
      <c r="N19" s="30">
        <f t="shared" si="12"/>
        <v>384</v>
      </c>
      <c r="O19" s="31">
        <f t="shared" si="13"/>
        <v>59.07692307692308</v>
      </c>
      <c r="P19" s="72">
        <v>266</v>
      </c>
      <c r="Q19" s="73">
        <f t="shared" si="14"/>
        <v>40.92307692307692</v>
      </c>
      <c r="R19" s="29">
        <v>630</v>
      </c>
      <c r="S19" s="30">
        <f t="shared" si="15"/>
        <v>370</v>
      </c>
      <c r="T19" s="31">
        <f t="shared" si="16"/>
        <v>58.730158730158728</v>
      </c>
      <c r="U19" s="72">
        <v>260</v>
      </c>
      <c r="V19" s="73">
        <f t="shared" si="17"/>
        <v>41.269841269841272</v>
      </c>
      <c r="W19" s="29">
        <v>604</v>
      </c>
      <c r="X19" s="30">
        <f t="shared" si="18"/>
        <v>359</v>
      </c>
      <c r="Y19" s="31">
        <f t="shared" si="19"/>
        <v>59.437086092715234</v>
      </c>
      <c r="Z19" s="72">
        <v>245</v>
      </c>
      <c r="AA19" s="73">
        <f t="shared" si="20"/>
        <v>40.562913907284766</v>
      </c>
      <c r="AB19" s="29">
        <v>628</v>
      </c>
      <c r="AC19" s="30">
        <f t="shared" si="21"/>
        <v>363</v>
      </c>
      <c r="AD19" s="31">
        <f t="shared" si="22"/>
        <v>57.802547770700635</v>
      </c>
      <c r="AE19" s="72">
        <v>265</v>
      </c>
      <c r="AF19" s="86">
        <f t="shared" si="23"/>
        <v>42.197452229299365</v>
      </c>
      <c r="AG19" s="29">
        <v>676</v>
      </c>
      <c r="AH19" s="30">
        <f t="shared" si="24"/>
        <v>380</v>
      </c>
      <c r="AI19" s="31">
        <f t="shared" si="25"/>
        <v>56.213017751479292</v>
      </c>
      <c r="AJ19" s="72">
        <v>296</v>
      </c>
      <c r="AK19" s="73">
        <f t="shared" si="26"/>
        <v>43.786982248520708</v>
      </c>
      <c r="AL19" s="29">
        <v>710</v>
      </c>
      <c r="AM19" s="30">
        <f t="shared" si="27"/>
        <v>400</v>
      </c>
      <c r="AN19" s="31">
        <f t="shared" si="28"/>
        <v>56.338028169014088</v>
      </c>
      <c r="AO19" s="72">
        <v>310</v>
      </c>
      <c r="AP19" s="73">
        <f t="shared" si="29"/>
        <v>43.661971830985912</v>
      </c>
      <c r="AQ19" s="29">
        <v>713</v>
      </c>
      <c r="AR19" s="30">
        <f t="shared" si="0"/>
        <v>404</v>
      </c>
      <c r="AS19" s="31">
        <f t="shared" si="37"/>
        <v>56.661991584852736</v>
      </c>
      <c r="AT19" s="72">
        <v>309</v>
      </c>
      <c r="AU19" s="73">
        <f t="shared" si="30"/>
        <v>43.338008415147264</v>
      </c>
      <c r="AV19" s="29">
        <v>757</v>
      </c>
      <c r="AW19" s="30">
        <f t="shared" si="1"/>
        <v>423</v>
      </c>
      <c r="AX19" s="31">
        <f t="shared" si="38"/>
        <v>55.878467635402906</v>
      </c>
      <c r="AY19" s="72">
        <v>334</v>
      </c>
      <c r="AZ19" s="73">
        <f t="shared" si="31"/>
        <v>44.121532364597094</v>
      </c>
      <c r="BA19" s="29">
        <v>750</v>
      </c>
      <c r="BB19" s="30">
        <f t="shared" si="2"/>
        <v>427</v>
      </c>
      <c r="BC19" s="31">
        <f t="shared" si="39"/>
        <v>56.93333333333333</v>
      </c>
      <c r="BD19" s="72">
        <v>323</v>
      </c>
      <c r="BE19" s="73">
        <f t="shared" si="32"/>
        <v>43.06666666666667</v>
      </c>
      <c r="BF19" s="29">
        <v>800</v>
      </c>
      <c r="BG19" s="30">
        <f t="shared" si="3"/>
        <v>452</v>
      </c>
      <c r="BH19" s="31">
        <f t="shared" si="40"/>
        <v>56.5</v>
      </c>
      <c r="BI19" s="72">
        <v>348</v>
      </c>
      <c r="BJ19" s="73">
        <f t="shared" si="33"/>
        <v>43.5</v>
      </c>
      <c r="BK19" s="29">
        <v>813</v>
      </c>
      <c r="BL19" s="30">
        <f t="shared" si="4"/>
        <v>453</v>
      </c>
      <c r="BM19" s="31">
        <f t="shared" si="41"/>
        <v>55.719557195571959</v>
      </c>
      <c r="BN19" s="72">
        <v>360</v>
      </c>
      <c r="BO19" s="73">
        <f t="shared" si="34"/>
        <v>44.280442804428041</v>
      </c>
      <c r="BP19" s="29">
        <v>796</v>
      </c>
      <c r="BQ19" s="30">
        <f t="shared" si="5"/>
        <v>445</v>
      </c>
      <c r="BR19" s="31">
        <f t="shared" si="42"/>
        <v>55.904522613065325</v>
      </c>
      <c r="BS19" s="72">
        <v>351</v>
      </c>
      <c r="BT19" s="73">
        <f t="shared" si="35"/>
        <v>44.095477386934675</v>
      </c>
    </row>
    <row r="20" spans="1:72" ht="26.4" customHeight="1" thickBot="1" x14ac:dyDescent="0.3">
      <c r="A20" s="36">
        <f t="shared" si="36"/>
        <v>11</v>
      </c>
      <c r="B20" s="37" t="s">
        <v>21</v>
      </c>
      <c r="C20" s="38">
        <v>952</v>
      </c>
      <c r="D20" s="39">
        <f t="shared" si="6"/>
        <v>507</v>
      </c>
      <c r="E20" s="40">
        <f t="shared" si="7"/>
        <v>53.256302521008401</v>
      </c>
      <c r="F20" s="74">
        <v>445</v>
      </c>
      <c r="G20" s="75">
        <f t="shared" si="8"/>
        <v>46.743697478991599</v>
      </c>
      <c r="H20" s="38" t="e">
        <f>Sek_2!#REF!</f>
        <v>#REF!</v>
      </c>
      <c r="I20" s="39" t="e">
        <f t="shared" si="9"/>
        <v>#REF!</v>
      </c>
      <c r="J20" s="40" t="e">
        <f t="shared" si="10"/>
        <v>#REF!</v>
      </c>
      <c r="K20" s="74" t="e">
        <f>Sek_2!#REF!</f>
        <v>#REF!</v>
      </c>
      <c r="L20" s="75" t="e">
        <f t="shared" si="11"/>
        <v>#REF!</v>
      </c>
      <c r="M20" s="38">
        <v>901</v>
      </c>
      <c r="N20" s="39">
        <f t="shared" si="12"/>
        <v>510</v>
      </c>
      <c r="O20" s="40">
        <f t="shared" si="13"/>
        <v>56.60377358490566</v>
      </c>
      <c r="P20" s="74">
        <v>391</v>
      </c>
      <c r="Q20" s="75">
        <f t="shared" si="14"/>
        <v>43.39622641509434</v>
      </c>
      <c r="R20" s="38">
        <v>898</v>
      </c>
      <c r="S20" s="39">
        <f t="shared" si="15"/>
        <v>503</v>
      </c>
      <c r="T20" s="40">
        <f t="shared" si="16"/>
        <v>56.013363028953229</v>
      </c>
      <c r="U20" s="74">
        <v>395</v>
      </c>
      <c r="V20" s="75">
        <f t="shared" si="17"/>
        <v>43.986636971046771</v>
      </c>
      <c r="W20" s="38">
        <v>880</v>
      </c>
      <c r="X20" s="39">
        <f t="shared" si="18"/>
        <v>506</v>
      </c>
      <c r="Y20" s="40">
        <f t="shared" si="19"/>
        <v>57.5</v>
      </c>
      <c r="Z20" s="74">
        <v>374</v>
      </c>
      <c r="AA20" s="75">
        <f t="shared" si="20"/>
        <v>42.5</v>
      </c>
      <c r="AB20" s="38">
        <v>867</v>
      </c>
      <c r="AC20" s="39">
        <f t="shared" si="21"/>
        <v>501</v>
      </c>
      <c r="AD20" s="40">
        <f t="shared" si="22"/>
        <v>57.785467128027683</v>
      </c>
      <c r="AE20" s="74">
        <v>366</v>
      </c>
      <c r="AF20" s="87">
        <f t="shared" si="23"/>
        <v>42.214532871972317</v>
      </c>
      <c r="AG20" s="38">
        <v>906</v>
      </c>
      <c r="AH20" s="39">
        <f t="shared" si="24"/>
        <v>529</v>
      </c>
      <c r="AI20" s="40">
        <f t="shared" si="25"/>
        <v>58.388520971302427</v>
      </c>
      <c r="AJ20" s="74">
        <v>377</v>
      </c>
      <c r="AK20" s="75">
        <f t="shared" si="26"/>
        <v>41.611479028697573</v>
      </c>
      <c r="AL20" s="38">
        <v>926</v>
      </c>
      <c r="AM20" s="39">
        <f t="shared" si="27"/>
        <v>540</v>
      </c>
      <c r="AN20" s="40">
        <f t="shared" si="28"/>
        <v>58.31533477321814</v>
      </c>
      <c r="AO20" s="74">
        <v>386</v>
      </c>
      <c r="AP20" s="75">
        <f t="shared" si="29"/>
        <v>41.68466522678186</v>
      </c>
      <c r="AQ20" s="38">
        <v>917</v>
      </c>
      <c r="AR20" s="30">
        <f t="shared" si="0"/>
        <v>534</v>
      </c>
      <c r="AS20" s="40">
        <f t="shared" si="37"/>
        <v>58.233369683751363</v>
      </c>
      <c r="AT20" s="74">
        <v>383</v>
      </c>
      <c r="AU20" s="75">
        <f t="shared" si="30"/>
        <v>41.766630316248637</v>
      </c>
      <c r="AV20" s="38">
        <v>947</v>
      </c>
      <c r="AW20" s="30">
        <f t="shared" si="1"/>
        <v>546</v>
      </c>
      <c r="AX20" s="40">
        <f t="shared" si="38"/>
        <v>57.655755015839496</v>
      </c>
      <c r="AY20" s="74">
        <v>401</v>
      </c>
      <c r="AZ20" s="75">
        <f t="shared" si="31"/>
        <v>42.344244984160504</v>
      </c>
      <c r="BA20" s="38">
        <v>956</v>
      </c>
      <c r="BB20" s="30">
        <f t="shared" si="2"/>
        <v>557</v>
      </c>
      <c r="BC20" s="40">
        <f t="shared" si="39"/>
        <v>58.263598326359833</v>
      </c>
      <c r="BD20" s="74">
        <v>399</v>
      </c>
      <c r="BE20" s="75">
        <f t="shared" si="32"/>
        <v>41.736401673640167</v>
      </c>
      <c r="BF20" s="38">
        <v>970</v>
      </c>
      <c r="BG20" s="30">
        <f t="shared" si="3"/>
        <v>576</v>
      </c>
      <c r="BH20" s="40">
        <f t="shared" si="40"/>
        <v>59.381443298969074</v>
      </c>
      <c r="BI20" s="74">
        <v>394</v>
      </c>
      <c r="BJ20" s="75">
        <f t="shared" si="33"/>
        <v>40.618556701030926</v>
      </c>
      <c r="BK20" s="38">
        <v>984</v>
      </c>
      <c r="BL20" s="30">
        <f t="shared" si="4"/>
        <v>591</v>
      </c>
      <c r="BM20" s="40">
        <f t="shared" si="41"/>
        <v>60.060975609756099</v>
      </c>
      <c r="BN20" s="74">
        <v>393</v>
      </c>
      <c r="BO20" s="75">
        <f t="shared" si="34"/>
        <v>39.939024390243901</v>
      </c>
      <c r="BP20" s="38">
        <v>946</v>
      </c>
      <c r="BQ20" s="30">
        <f t="shared" si="5"/>
        <v>577</v>
      </c>
      <c r="BR20" s="40">
        <f t="shared" si="42"/>
        <v>60.993657505285412</v>
      </c>
      <c r="BS20" s="74">
        <v>369</v>
      </c>
      <c r="BT20" s="75">
        <f t="shared" si="35"/>
        <v>39.006342494714588</v>
      </c>
    </row>
    <row r="21" spans="1:72" s="6" customFormat="1" ht="26.4" customHeight="1" thickBot="1" x14ac:dyDescent="0.3">
      <c r="A21" s="459" t="s">
        <v>36</v>
      </c>
      <c r="B21" s="460"/>
      <c r="C21" s="44">
        <f t="shared" ref="C21:Z21" si="43">SUM(C10:C20)</f>
        <v>8216</v>
      </c>
      <c r="D21" s="45">
        <f t="shared" si="43"/>
        <v>3990</v>
      </c>
      <c r="E21" s="46">
        <f t="shared" si="7"/>
        <v>48.563777994157739</v>
      </c>
      <c r="F21" s="76">
        <f t="shared" si="43"/>
        <v>4226</v>
      </c>
      <c r="G21" s="77">
        <f t="shared" si="8"/>
        <v>51.436222005842261</v>
      </c>
      <c r="H21" s="44" t="e">
        <f t="shared" si="43"/>
        <v>#REF!</v>
      </c>
      <c r="I21" s="45" t="e">
        <f t="shared" si="43"/>
        <v>#REF!</v>
      </c>
      <c r="J21" s="46" t="e">
        <f t="shared" si="10"/>
        <v>#REF!</v>
      </c>
      <c r="K21" s="76" t="e">
        <f t="shared" si="43"/>
        <v>#REF!</v>
      </c>
      <c r="L21" s="77" t="e">
        <f t="shared" si="11"/>
        <v>#REF!</v>
      </c>
      <c r="M21" s="44">
        <f t="shared" si="43"/>
        <v>8443</v>
      </c>
      <c r="N21" s="45">
        <f t="shared" si="43"/>
        <v>4203</v>
      </c>
      <c r="O21" s="46">
        <f t="shared" si="13"/>
        <v>49.780883572189978</v>
      </c>
      <c r="P21" s="76">
        <f t="shared" si="43"/>
        <v>4240</v>
      </c>
      <c r="Q21" s="77">
        <f t="shared" si="14"/>
        <v>50.219116427810022</v>
      </c>
      <c r="R21" s="44">
        <f t="shared" si="43"/>
        <v>8583</v>
      </c>
      <c r="S21" s="45">
        <f t="shared" si="43"/>
        <v>4259</v>
      </c>
      <c r="T21" s="46">
        <f t="shared" si="16"/>
        <v>49.62134451823372</v>
      </c>
      <c r="U21" s="76">
        <f t="shared" si="43"/>
        <v>4324</v>
      </c>
      <c r="V21" s="77">
        <f t="shared" si="17"/>
        <v>50.37865548176628</v>
      </c>
      <c r="W21" s="44">
        <f t="shared" si="43"/>
        <v>8732</v>
      </c>
      <c r="X21" s="45">
        <f t="shared" si="43"/>
        <v>4349</v>
      </c>
      <c r="Y21" s="46">
        <f t="shared" si="19"/>
        <v>49.805313788364636</v>
      </c>
      <c r="Z21" s="76">
        <f t="shared" si="43"/>
        <v>4383</v>
      </c>
      <c r="AA21" s="77">
        <f t="shared" si="20"/>
        <v>50.194686211635364</v>
      </c>
      <c r="AB21" s="44">
        <f>SUM(AB10:AB20)</f>
        <v>9041</v>
      </c>
      <c r="AC21" s="45">
        <f>SUM(AC10:AC20)</f>
        <v>4520</v>
      </c>
      <c r="AD21" s="46">
        <f t="shared" si="22"/>
        <v>49.994469638314342</v>
      </c>
      <c r="AE21" s="76">
        <f>SUM(AE10:AE20)</f>
        <v>4521</v>
      </c>
      <c r="AF21" s="88">
        <f t="shared" si="23"/>
        <v>50.005530361685658</v>
      </c>
      <c r="AG21" s="44">
        <f>SUM(AG10:AG20)</f>
        <v>9335</v>
      </c>
      <c r="AH21" s="45">
        <f>SUM(AH10:AH20)</f>
        <v>4661</v>
      </c>
      <c r="AI21" s="46">
        <f t="shared" si="25"/>
        <v>49.930369576861274</v>
      </c>
      <c r="AJ21" s="76">
        <f>SUM(AJ10:AJ20)</f>
        <v>4674</v>
      </c>
      <c r="AK21" s="77">
        <f t="shared" si="26"/>
        <v>50.069630423138726</v>
      </c>
      <c r="AL21" s="44">
        <f>SUM(AL10:AL20)</f>
        <v>9605</v>
      </c>
      <c r="AM21" s="45">
        <f>SUM(AM10:AM20)</f>
        <v>4834</v>
      </c>
      <c r="AN21" s="46">
        <f t="shared" si="28"/>
        <v>50.327954190525766</v>
      </c>
      <c r="AO21" s="76">
        <f>SUM(AO10:AO20)</f>
        <v>4771</v>
      </c>
      <c r="AP21" s="77">
        <f t="shared" si="29"/>
        <v>49.672045809474234</v>
      </c>
      <c r="AQ21" s="44">
        <f>SUM(AQ10:AQ20)</f>
        <v>9823</v>
      </c>
      <c r="AR21" s="45">
        <f>SUM(AR10:AR20)</f>
        <v>4953</v>
      </c>
      <c r="AS21" s="46">
        <f t="shared" si="37"/>
        <v>50.422477858088158</v>
      </c>
      <c r="AT21" s="76">
        <f>SUM(AT10:AT20)</f>
        <v>4870</v>
      </c>
      <c r="AU21" s="77">
        <f t="shared" si="30"/>
        <v>49.577522141911842</v>
      </c>
      <c r="AV21" s="44">
        <f>SUM(AV10:AV20)</f>
        <v>10095</v>
      </c>
      <c r="AW21" s="45">
        <f>SUM(AW10:AW20)</f>
        <v>5055</v>
      </c>
      <c r="AX21" s="46">
        <f t="shared" si="38"/>
        <v>50.074294205052006</v>
      </c>
      <c r="AY21" s="76">
        <f>SUM(AY10:AY20)</f>
        <v>5040</v>
      </c>
      <c r="AZ21" s="77">
        <f t="shared" si="31"/>
        <v>49.925705794947994</v>
      </c>
      <c r="BA21" s="44">
        <f>SUM(BA10:BA20)</f>
        <v>10299</v>
      </c>
      <c r="BB21" s="45">
        <f>SUM(BB10:BB20)</f>
        <v>5162</v>
      </c>
      <c r="BC21" s="46">
        <f t="shared" si="39"/>
        <v>50.121371006893874</v>
      </c>
      <c r="BD21" s="76">
        <f>SUM(BD10:BD20)</f>
        <v>5137</v>
      </c>
      <c r="BE21" s="77">
        <f t="shared" si="32"/>
        <v>49.878628993106126</v>
      </c>
      <c r="BF21" s="44">
        <f>SUM(BF10:BF20)</f>
        <v>10544</v>
      </c>
      <c r="BG21" s="45">
        <f>SUM(BG10:BG20)</f>
        <v>5336</v>
      </c>
      <c r="BH21" s="46">
        <f t="shared" si="40"/>
        <v>50.606980273141126</v>
      </c>
      <c r="BI21" s="76">
        <f>SUM(BI10:BI20)</f>
        <v>5208</v>
      </c>
      <c r="BJ21" s="77">
        <f t="shared" si="33"/>
        <v>49.393019726858874</v>
      </c>
      <c r="BK21" s="44">
        <f>SUM(BK10:BK20)</f>
        <v>10584</v>
      </c>
      <c r="BL21" s="45">
        <f>SUM(BL10:BL20)</f>
        <v>5407</v>
      </c>
      <c r="BM21" s="46">
        <f t="shared" si="41"/>
        <v>51.086545729402872</v>
      </c>
      <c r="BN21" s="76">
        <f>SUM(BN10:BN20)</f>
        <v>5177</v>
      </c>
      <c r="BO21" s="77">
        <f t="shared" si="34"/>
        <v>48.913454270597128</v>
      </c>
      <c r="BP21" s="44">
        <f>SUM(BP10:BP20)</f>
        <v>9890</v>
      </c>
      <c r="BQ21" s="45">
        <f>SUM(BQ10:BQ20)</f>
        <v>5126</v>
      </c>
      <c r="BR21" s="46">
        <f t="shared" si="42"/>
        <v>51.830131445904954</v>
      </c>
      <c r="BS21" s="76">
        <f>SUM(BS10:BS20)</f>
        <v>4764</v>
      </c>
      <c r="BT21" s="77">
        <f t="shared" si="35"/>
        <v>48.169868554095046</v>
      </c>
    </row>
    <row r="22" spans="1:72" ht="26.4" customHeight="1" x14ac:dyDescent="0.25">
      <c r="A22" s="19">
        <v>12</v>
      </c>
      <c r="B22" s="49" t="s">
        <v>31</v>
      </c>
      <c r="C22" s="50">
        <v>875</v>
      </c>
      <c r="D22" s="51">
        <f>C22-F22</f>
        <v>373</v>
      </c>
      <c r="E22" s="52">
        <f t="shared" si="7"/>
        <v>42.628571428571426</v>
      </c>
      <c r="F22" s="78">
        <v>502</v>
      </c>
      <c r="G22" s="79">
        <f t="shared" si="8"/>
        <v>57.371428571428574</v>
      </c>
      <c r="H22" s="50">
        <v>804</v>
      </c>
      <c r="I22" s="51">
        <f>H22-K22</f>
        <v>350</v>
      </c>
      <c r="J22" s="52">
        <f t="shared" si="10"/>
        <v>43.53233830845771</v>
      </c>
      <c r="K22" s="78">
        <v>454</v>
      </c>
      <c r="L22" s="79">
        <f t="shared" si="11"/>
        <v>56.46766169154229</v>
      </c>
      <c r="M22" s="50">
        <v>805</v>
      </c>
      <c r="N22" s="51">
        <f>M22-P22</f>
        <v>369</v>
      </c>
      <c r="O22" s="52">
        <f t="shared" si="13"/>
        <v>45.838509316770185</v>
      </c>
      <c r="P22" s="78">
        <v>436</v>
      </c>
      <c r="Q22" s="79">
        <f t="shared" si="14"/>
        <v>54.161490683229815</v>
      </c>
      <c r="R22" s="50">
        <v>826</v>
      </c>
      <c r="S22" s="51">
        <f>R22-U22</f>
        <v>386</v>
      </c>
      <c r="T22" s="52">
        <f t="shared" si="16"/>
        <v>46.731234866828089</v>
      </c>
      <c r="U22" s="78">
        <v>440</v>
      </c>
      <c r="V22" s="79">
        <f t="shared" si="17"/>
        <v>53.268765133171911</v>
      </c>
      <c r="W22" s="50">
        <v>842</v>
      </c>
      <c r="X22" s="51">
        <f>W22-Z22</f>
        <v>391</v>
      </c>
      <c r="Y22" s="52">
        <f t="shared" si="19"/>
        <v>46.437054631828978</v>
      </c>
      <c r="Z22" s="78">
        <v>451</v>
      </c>
      <c r="AA22" s="79">
        <f t="shared" si="20"/>
        <v>53.562945368171022</v>
      </c>
      <c r="AB22" s="50">
        <v>838</v>
      </c>
      <c r="AC22" s="51">
        <f>AB22-AE22</f>
        <v>393</v>
      </c>
      <c r="AD22" s="52">
        <f t="shared" si="22"/>
        <v>46.897374701670643</v>
      </c>
      <c r="AE22" s="78">
        <v>445</v>
      </c>
      <c r="AF22" s="89">
        <f t="shared" si="23"/>
        <v>53.102625298329357</v>
      </c>
      <c r="AG22" s="50">
        <v>861</v>
      </c>
      <c r="AH22" s="51">
        <f>AG22-AJ22</f>
        <v>408</v>
      </c>
      <c r="AI22" s="52">
        <f t="shared" si="25"/>
        <v>47.386759581881535</v>
      </c>
      <c r="AJ22" s="78">
        <v>453</v>
      </c>
      <c r="AK22" s="79">
        <f t="shared" si="26"/>
        <v>52.613240418118465</v>
      </c>
      <c r="AL22" s="50">
        <v>892</v>
      </c>
      <c r="AM22" s="51">
        <f>AL22-AO22</f>
        <v>420</v>
      </c>
      <c r="AN22" s="52">
        <f t="shared" si="28"/>
        <v>47.085201793721971</v>
      </c>
      <c r="AO22" s="78">
        <v>472</v>
      </c>
      <c r="AP22" s="79">
        <f t="shared" si="29"/>
        <v>52.914798206278029</v>
      </c>
      <c r="AQ22" s="50">
        <v>877</v>
      </c>
      <c r="AR22" s="51">
        <f>AQ22-AT22</f>
        <v>403</v>
      </c>
      <c r="AS22" s="52">
        <f t="shared" si="37"/>
        <v>45.952109464082099</v>
      </c>
      <c r="AT22" s="78">
        <v>474</v>
      </c>
      <c r="AU22" s="79">
        <f t="shared" si="30"/>
        <v>54.047890535917901</v>
      </c>
      <c r="AV22" s="50">
        <v>877</v>
      </c>
      <c r="AW22" s="51">
        <f>AV22-AY22</f>
        <v>403</v>
      </c>
      <c r="AX22" s="52">
        <f t="shared" si="38"/>
        <v>45.952109464082099</v>
      </c>
      <c r="AY22" s="78">
        <v>474</v>
      </c>
      <c r="AZ22" s="79">
        <f t="shared" si="31"/>
        <v>54.047890535917901</v>
      </c>
      <c r="BA22" s="50">
        <v>870</v>
      </c>
      <c r="BB22" s="51">
        <f>BA22-BD22</f>
        <v>412</v>
      </c>
      <c r="BC22" s="52">
        <f t="shared" si="39"/>
        <v>47.356321839080458</v>
      </c>
      <c r="BD22" s="78">
        <v>458</v>
      </c>
      <c r="BE22" s="79">
        <f t="shared" si="32"/>
        <v>52.643678160919542</v>
      </c>
      <c r="BF22" s="50">
        <v>866</v>
      </c>
      <c r="BG22" s="51">
        <f>BF22-BI22</f>
        <v>419</v>
      </c>
      <c r="BH22" s="52">
        <f t="shared" si="40"/>
        <v>48.383371824480371</v>
      </c>
      <c r="BI22" s="78">
        <v>447</v>
      </c>
      <c r="BJ22" s="79">
        <f t="shared" si="33"/>
        <v>51.616628175519629</v>
      </c>
      <c r="BK22" s="50">
        <v>840</v>
      </c>
      <c r="BL22" s="51">
        <f>BK22-BN22</f>
        <v>406</v>
      </c>
      <c r="BM22" s="52">
        <f t="shared" si="41"/>
        <v>48.333333333333336</v>
      </c>
      <c r="BN22" s="78">
        <v>434</v>
      </c>
      <c r="BO22" s="79">
        <f t="shared" si="34"/>
        <v>51.666666666666664</v>
      </c>
      <c r="BP22" s="50">
        <v>840</v>
      </c>
      <c r="BQ22" s="51">
        <f>BP22-BS22</f>
        <v>406</v>
      </c>
      <c r="BR22" s="52">
        <f t="shared" si="42"/>
        <v>48.333333333333336</v>
      </c>
      <c r="BS22" s="78">
        <v>434</v>
      </c>
      <c r="BT22" s="79">
        <f t="shared" si="35"/>
        <v>51.666666666666664</v>
      </c>
    </row>
    <row r="23" spans="1:72" ht="26.4" customHeight="1" x14ac:dyDescent="0.25">
      <c r="A23" s="55">
        <v>13</v>
      </c>
      <c r="B23" s="56" t="s">
        <v>32</v>
      </c>
      <c r="C23" s="55">
        <v>925</v>
      </c>
      <c r="D23" s="57">
        <f>C23-F23</f>
        <v>415</v>
      </c>
      <c r="E23" s="58">
        <f t="shared" si="7"/>
        <v>44.864864864864863</v>
      </c>
      <c r="F23" s="80">
        <v>510</v>
      </c>
      <c r="G23" s="81">
        <f t="shared" si="8"/>
        <v>55.135135135135137</v>
      </c>
      <c r="H23" s="55">
        <v>950</v>
      </c>
      <c r="I23" s="57">
        <f>H23-K23</f>
        <v>420</v>
      </c>
      <c r="J23" s="58">
        <f t="shared" si="10"/>
        <v>44.210526315789473</v>
      </c>
      <c r="K23" s="80">
        <v>530</v>
      </c>
      <c r="L23" s="81">
        <f t="shared" si="11"/>
        <v>55.789473684210527</v>
      </c>
      <c r="M23" s="55">
        <v>930</v>
      </c>
      <c r="N23" s="57">
        <f>M23-P23</f>
        <v>409</v>
      </c>
      <c r="O23" s="58">
        <f t="shared" si="13"/>
        <v>43.978494623655912</v>
      </c>
      <c r="P23" s="80">
        <v>521</v>
      </c>
      <c r="Q23" s="81">
        <f t="shared" si="14"/>
        <v>56.021505376344088</v>
      </c>
      <c r="R23" s="55">
        <v>988</v>
      </c>
      <c r="S23" s="57">
        <f>R23-U23</f>
        <v>472</v>
      </c>
      <c r="T23" s="58">
        <f t="shared" si="16"/>
        <v>47.773279352226723</v>
      </c>
      <c r="U23" s="80">
        <v>516</v>
      </c>
      <c r="V23" s="81">
        <f t="shared" si="17"/>
        <v>52.226720647773277</v>
      </c>
      <c r="W23" s="55">
        <v>948</v>
      </c>
      <c r="X23" s="57">
        <f>W23-Z23</f>
        <v>438</v>
      </c>
      <c r="Y23" s="58">
        <f t="shared" si="19"/>
        <v>46.202531645569621</v>
      </c>
      <c r="Z23" s="80">
        <v>510</v>
      </c>
      <c r="AA23" s="81">
        <f t="shared" si="20"/>
        <v>53.797468354430379</v>
      </c>
      <c r="AB23" s="55">
        <v>946</v>
      </c>
      <c r="AC23" s="57">
        <f>AB23-AE23</f>
        <v>441</v>
      </c>
      <c r="AD23" s="58">
        <f t="shared" si="22"/>
        <v>46.61733615221987</v>
      </c>
      <c r="AE23" s="80">
        <v>505</v>
      </c>
      <c r="AF23" s="90">
        <f t="shared" si="23"/>
        <v>53.38266384778013</v>
      </c>
      <c r="AG23" s="55">
        <v>929</v>
      </c>
      <c r="AH23" s="57">
        <f>AG23-AJ23</f>
        <v>430</v>
      </c>
      <c r="AI23" s="58">
        <f t="shared" si="25"/>
        <v>46.286329386437032</v>
      </c>
      <c r="AJ23" s="80">
        <v>499</v>
      </c>
      <c r="AK23" s="81">
        <f t="shared" si="26"/>
        <v>53.713670613562968</v>
      </c>
      <c r="AL23" s="55">
        <v>957</v>
      </c>
      <c r="AM23" s="57">
        <f>AL23-AO23</f>
        <v>452</v>
      </c>
      <c r="AN23" s="58">
        <f t="shared" si="28"/>
        <v>47.230929989550681</v>
      </c>
      <c r="AO23" s="80">
        <v>505</v>
      </c>
      <c r="AP23" s="81">
        <f t="shared" si="29"/>
        <v>52.769070010449319</v>
      </c>
      <c r="AQ23" s="55">
        <v>974</v>
      </c>
      <c r="AR23" s="57">
        <f>AQ23-AT23</f>
        <v>444</v>
      </c>
      <c r="AS23" s="58">
        <f t="shared" si="37"/>
        <v>45.585215605749489</v>
      </c>
      <c r="AT23" s="80">
        <v>530</v>
      </c>
      <c r="AU23" s="81">
        <f t="shared" si="30"/>
        <v>54.414784394250511</v>
      </c>
      <c r="AV23" s="55">
        <v>974</v>
      </c>
      <c r="AW23" s="57">
        <f>AV23-AY23</f>
        <v>444</v>
      </c>
      <c r="AX23" s="58">
        <f t="shared" si="38"/>
        <v>45.585215605749489</v>
      </c>
      <c r="AY23" s="80">
        <v>530</v>
      </c>
      <c r="AZ23" s="81">
        <f t="shared" si="31"/>
        <v>54.414784394250511</v>
      </c>
      <c r="BA23" s="55">
        <v>1043</v>
      </c>
      <c r="BB23" s="57">
        <f>BA23-BD23</f>
        <v>490</v>
      </c>
      <c r="BC23" s="58">
        <f t="shared" si="39"/>
        <v>46.979865771812079</v>
      </c>
      <c r="BD23" s="80">
        <v>553</v>
      </c>
      <c r="BE23" s="81">
        <f t="shared" si="32"/>
        <v>53.020134228187921</v>
      </c>
      <c r="BF23" s="55">
        <v>1057</v>
      </c>
      <c r="BG23" s="57">
        <f>BF23-BI23</f>
        <v>495</v>
      </c>
      <c r="BH23" s="58">
        <f t="shared" si="40"/>
        <v>46.830652790917689</v>
      </c>
      <c r="BI23" s="80">
        <v>562</v>
      </c>
      <c r="BJ23" s="81">
        <f t="shared" si="33"/>
        <v>53.169347209082311</v>
      </c>
      <c r="BK23" s="55">
        <v>1077</v>
      </c>
      <c r="BL23" s="57">
        <f>BK23-BN23</f>
        <v>509</v>
      </c>
      <c r="BM23" s="58">
        <f t="shared" si="41"/>
        <v>47.260909935004641</v>
      </c>
      <c r="BN23" s="80">
        <v>568</v>
      </c>
      <c r="BO23" s="81">
        <f t="shared" si="34"/>
        <v>52.739090064995359</v>
      </c>
      <c r="BP23" s="55">
        <v>1077</v>
      </c>
      <c r="BQ23" s="57">
        <f>BP23-BS23</f>
        <v>509</v>
      </c>
      <c r="BR23" s="58">
        <f t="shared" si="42"/>
        <v>47.260909935004641</v>
      </c>
      <c r="BS23" s="80">
        <v>568</v>
      </c>
      <c r="BT23" s="81">
        <f t="shared" si="35"/>
        <v>52.739090064995359</v>
      </c>
    </row>
    <row r="24" spans="1:72" ht="26.4" customHeight="1" thickBot="1" x14ac:dyDescent="0.3">
      <c r="A24" s="61">
        <v>14</v>
      </c>
      <c r="B24" s="62" t="s">
        <v>33</v>
      </c>
      <c r="C24" s="63">
        <v>611</v>
      </c>
      <c r="D24" s="64">
        <v>0</v>
      </c>
      <c r="E24" s="65">
        <f t="shared" si="7"/>
        <v>0</v>
      </c>
      <c r="F24" s="74">
        <v>611</v>
      </c>
      <c r="G24" s="75">
        <f t="shared" si="8"/>
        <v>100</v>
      </c>
      <c r="H24" s="63">
        <v>713</v>
      </c>
      <c r="I24" s="64">
        <v>0</v>
      </c>
      <c r="J24" s="65">
        <f t="shared" si="10"/>
        <v>0</v>
      </c>
      <c r="K24" s="74">
        <v>713</v>
      </c>
      <c r="L24" s="75">
        <f t="shared" si="11"/>
        <v>100</v>
      </c>
      <c r="M24" s="63">
        <v>768</v>
      </c>
      <c r="N24" s="64">
        <v>0</v>
      </c>
      <c r="O24" s="65">
        <f t="shared" si="13"/>
        <v>0</v>
      </c>
      <c r="P24" s="74">
        <v>768</v>
      </c>
      <c r="Q24" s="75">
        <f t="shared" si="14"/>
        <v>100</v>
      </c>
      <c r="R24" s="63">
        <v>801</v>
      </c>
      <c r="S24" s="64">
        <v>0</v>
      </c>
      <c r="T24" s="65">
        <f t="shared" si="16"/>
        <v>0</v>
      </c>
      <c r="U24" s="74">
        <v>801</v>
      </c>
      <c r="V24" s="75">
        <f t="shared" si="17"/>
        <v>100</v>
      </c>
      <c r="W24" s="63">
        <v>841</v>
      </c>
      <c r="X24" s="64">
        <v>0</v>
      </c>
      <c r="Y24" s="65">
        <f t="shared" si="19"/>
        <v>0</v>
      </c>
      <c r="Z24" s="74">
        <v>841</v>
      </c>
      <c r="AA24" s="75">
        <f t="shared" si="20"/>
        <v>100</v>
      </c>
      <c r="AB24" s="63">
        <v>886</v>
      </c>
      <c r="AC24" s="64">
        <v>0</v>
      </c>
      <c r="AD24" s="65">
        <f t="shared" si="22"/>
        <v>0</v>
      </c>
      <c r="AE24" s="74">
        <v>886</v>
      </c>
      <c r="AF24" s="87">
        <f t="shared" si="23"/>
        <v>100</v>
      </c>
      <c r="AG24" s="63">
        <v>912</v>
      </c>
      <c r="AH24" s="64">
        <f>AG24-AJ24</f>
        <v>0</v>
      </c>
      <c r="AI24" s="65">
        <f t="shared" si="25"/>
        <v>0</v>
      </c>
      <c r="AJ24" s="74">
        <v>912</v>
      </c>
      <c r="AK24" s="75">
        <f t="shared" si="26"/>
        <v>100</v>
      </c>
      <c r="AL24" s="63">
        <v>958</v>
      </c>
      <c r="AM24" s="64">
        <f>AL24-AO24</f>
        <v>0</v>
      </c>
      <c r="AN24" s="65">
        <f t="shared" si="28"/>
        <v>0</v>
      </c>
      <c r="AO24" s="74">
        <v>958</v>
      </c>
      <c r="AP24" s="75">
        <f t="shared" si="29"/>
        <v>100</v>
      </c>
      <c r="AQ24" s="63">
        <v>980</v>
      </c>
      <c r="AR24" s="64">
        <f>AQ24-AT24</f>
        <v>0</v>
      </c>
      <c r="AS24" s="65">
        <f t="shared" si="37"/>
        <v>0</v>
      </c>
      <c r="AT24" s="74">
        <v>980</v>
      </c>
      <c r="AU24" s="75">
        <f t="shared" si="30"/>
        <v>100</v>
      </c>
      <c r="AV24" s="63">
        <v>980</v>
      </c>
      <c r="AW24" s="64">
        <f>AV24-AY24</f>
        <v>0</v>
      </c>
      <c r="AX24" s="65">
        <f t="shared" si="38"/>
        <v>0</v>
      </c>
      <c r="AY24" s="74">
        <v>980</v>
      </c>
      <c r="AZ24" s="75">
        <f t="shared" si="31"/>
        <v>100</v>
      </c>
      <c r="BA24" s="63">
        <v>973</v>
      </c>
      <c r="BB24" s="64">
        <f>BA24-BD24</f>
        <v>0</v>
      </c>
      <c r="BC24" s="65">
        <f t="shared" si="39"/>
        <v>0</v>
      </c>
      <c r="BD24" s="74">
        <v>973</v>
      </c>
      <c r="BE24" s="75">
        <f t="shared" si="32"/>
        <v>100</v>
      </c>
      <c r="BF24" s="63">
        <v>984</v>
      </c>
      <c r="BG24" s="64">
        <f>BF24-BI24</f>
        <v>0</v>
      </c>
      <c r="BH24" s="65">
        <f t="shared" si="40"/>
        <v>0</v>
      </c>
      <c r="BI24" s="74">
        <v>984</v>
      </c>
      <c r="BJ24" s="75">
        <f t="shared" si="33"/>
        <v>100</v>
      </c>
      <c r="BK24" s="63">
        <v>965</v>
      </c>
      <c r="BL24" s="64">
        <f>BK24-BN24</f>
        <v>0</v>
      </c>
      <c r="BM24" s="65">
        <f t="shared" si="41"/>
        <v>0</v>
      </c>
      <c r="BN24" s="74">
        <v>965</v>
      </c>
      <c r="BO24" s="75">
        <f t="shared" si="34"/>
        <v>100</v>
      </c>
      <c r="BP24" s="63">
        <v>965</v>
      </c>
      <c r="BQ24" s="64">
        <f>BP24-BS24</f>
        <v>0</v>
      </c>
      <c r="BR24" s="65">
        <f t="shared" si="42"/>
        <v>0</v>
      </c>
      <c r="BS24" s="74">
        <v>965</v>
      </c>
      <c r="BT24" s="75">
        <f t="shared" si="35"/>
        <v>100</v>
      </c>
    </row>
    <row r="25" spans="1:72" s="6" customFormat="1" ht="26.4" customHeight="1" thickBot="1" x14ac:dyDescent="0.3">
      <c r="A25" s="461" t="s">
        <v>37</v>
      </c>
      <c r="B25" s="462"/>
      <c r="C25" s="66">
        <f>SUM(C22:C24)</f>
        <v>2411</v>
      </c>
      <c r="D25" s="45">
        <f>SUM(D22:D24)</f>
        <v>788</v>
      </c>
      <c r="E25" s="46">
        <f t="shared" si="7"/>
        <v>32.683533803401076</v>
      </c>
      <c r="F25" s="76">
        <f t="shared" ref="F25:Z25" si="44">SUM(F22:F24)</f>
        <v>1623</v>
      </c>
      <c r="G25" s="77">
        <f t="shared" si="8"/>
        <v>67.316466196598924</v>
      </c>
      <c r="H25" s="66">
        <f t="shared" si="44"/>
        <v>2467</v>
      </c>
      <c r="I25" s="45">
        <f t="shared" si="44"/>
        <v>770</v>
      </c>
      <c r="J25" s="46">
        <f t="shared" si="10"/>
        <v>31.211998378597485</v>
      </c>
      <c r="K25" s="76">
        <f t="shared" si="44"/>
        <v>1697</v>
      </c>
      <c r="L25" s="77">
        <f t="shared" si="11"/>
        <v>68.788001621402515</v>
      </c>
      <c r="M25" s="66">
        <f t="shared" si="44"/>
        <v>2503</v>
      </c>
      <c r="N25" s="45">
        <f t="shared" si="44"/>
        <v>778</v>
      </c>
      <c r="O25" s="46">
        <f t="shared" si="13"/>
        <v>31.082700759089093</v>
      </c>
      <c r="P25" s="76">
        <f t="shared" si="44"/>
        <v>1725</v>
      </c>
      <c r="Q25" s="77">
        <f t="shared" si="14"/>
        <v>68.917299240910907</v>
      </c>
      <c r="R25" s="66">
        <f t="shared" si="44"/>
        <v>2615</v>
      </c>
      <c r="S25" s="45">
        <f t="shared" si="44"/>
        <v>858</v>
      </c>
      <c r="T25" s="46">
        <f t="shared" si="16"/>
        <v>32.810707456978967</v>
      </c>
      <c r="U25" s="76">
        <f t="shared" si="44"/>
        <v>1757</v>
      </c>
      <c r="V25" s="77">
        <f t="shared" si="17"/>
        <v>67.189292543021025</v>
      </c>
      <c r="W25" s="66">
        <f t="shared" si="44"/>
        <v>2631</v>
      </c>
      <c r="X25" s="45">
        <f t="shared" si="44"/>
        <v>829</v>
      </c>
      <c r="Y25" s="46">
        <f t="shared" si="19"/>
        <v>31.508931965032307</v>
      </c>
      <c r="Z25" s="76">
        <f t="shared" si="44"/>
        <v>1802</v>
      </c>
      <c r="AA25" s="77">
        <f t="shared" si="20"/>
        <v>68.491068034967697</v>
      </c>
      <c r="AB25" s="66">
        <f>SUM(AB22:AB24)</f>
        <v>2670</v>
      </c>
      <c r="AC25" s="45">
        <f>SUM(AC22:AC24)</f>
        <v>834</v>
      </c>
      <c r="AD25" s="46">
        <f t="shared" si="22"/>
        <v>31.235955056179776</v>
      </c>
      <c r="AE25" s="76">
        <f>SUM(AE22:AE24)</f>
        <v>1836</v>
      </c>
      <c r="AF25" s="88">
        <f t="shared" si="23"/>
        <v>68.764044943820224</v>
      </c>
      <c r="AG25" s="44">
        <f>AG22+AG23+AG24</f>
        <v>2702</v>
      </c>
      <c r="AH25" s="82">
        <f>AH22+AH23+AH24</f>
        <v>838</v>
      </c>
      <c r="AI25" s="46">
        <f t="shared" si="25"/>
        <v>31.014063656550704</v>
      </c>
      <c r="AJ25" s="76">
        <f>AJ22+AJ23+AJ24</f>
        <v>1864</v>
      </c>
      <c r="AK25" s="77">
        <f t="shared" si="26"/>
        <v>68.985936343449296</v>
      </c>
      <c r="AL25" s="44">
        <f>AL22+AL23+AL24</f>
        <v>2807</v>
      </c>
      <c r="AM25" s="82">
        <f>AM22+AM23+AM24</f>
        <v>872</v>
      </c>
      <c r="AN25" s="46">
        <f t="shared" si="28"/>
        <v>31.065194157463484</v>
      </c>
      <c r="AO25" s="76">
        <f>AO22+AO23+AO24</f>
        <v>1935</v>
      </c>
      <c r="AP25" s="77">
        <f t="shared" si="29"/>
        <v>68.93480584253652</v>
      </c>
      <c r="AQ25" s="44">
        <f>AQ22+AQ23+AQ24</f>
        <v>2831</v>
      </c>
      <c r="AR25" s="82">
        <f>AR22+AR23+AR24</f>
        <v>847</v>
      </c>
      <c r="AS25" s="46">
        <f t="shared" si="37"/>
        <v>29.918756623101377</v>
      </c>
      <c r="AT25" s="76">
        <f>AT22+AT23+AT24</f>
        <v>1984</v>
      </c>
      <c r="AU25" s="77">
        <f t="shared" si="30"/>
        <v>70.081243376898627</v>
      </c>
      <c r="AV25" s="44">
        <f>AV22+AV23+AV24</f>
        <v>2831</v>
      </c>
      <c r="AW25" s="82">
        <f>AW22+AW23+AW24</f>
        <v>847</v>
      </c>
      <c r="AX25" s="46">
        <f t="shared" si="38"/>
        <v>29.918756623101377</v>
      </c>
      <c r="AY25" s="76">
        <f>AY22+AY23+AY24</f>
        <v>1984</v>
      </c>
      <c r="AZ25" s="77">
        <f t="shared" si="31"/>
        <v>70.081243376898627</v>
      </c>
      <c r="BA25" s="44">
        <f>BA22+BA23+BA24</f>
        <v>2886</v>
      </c>
      <c r="BB25" s="82">
        <f>BB22+BB23+BB24</f>
        <v>902</v>
      </c>
      <c r="BC25" s="46">
        <f t="shared" si="39"/>
        <v>31.254331254331255</v>
      </c>
      <c r="BD25" s="76">
        <f>BD22+BD23+BD24</f>
        <v>1984</v>
      </c>
      <c r="BE25" s="77">
        <f t="shared" si="32"/>
        <v>68.745668745668752</v>
      </c>
      <c r="BF25" s="44">
        <f>BF22+BF23+BF24</f>
        <v>2907</v>
      </c>
      <c r="BG25" s="82">
        <f>BG22+BG23+BG24</f>
        <v>914</v>
      </c>
      <c r="BH25" s="46">
        <f t="shared" si="40"/>
        <v>31.441348469212247</v>
      </c>
      <c r="BI25" s="76">
        <f>BI22+BI23+BI24</f>
        <v>1993</v>
      </c>
      <c r="BJ25" s="77">
        <f t="shared" si="33"/>
        <v>68.558651530787756</v>
      </c>
      <c r="BK25" s="44">
        <f>BK22+BK23+BK24</f>
        <v>2882</v>
      </c>
      <c r="BL25" s="82">
        <f>BL22+BL23+BL24</f>
        <v>915</v>
      </c>
      <c r="BM25" s="46">
        <f t="shared" si="41"/>
        <v>31.74878556557946</v>
      </c>
      <c r="BN25" s="76">
        <f>BN22+BN23+BN24</f>
        <v>1967</v>
      </c>
      <c r="BO25" s="77">
        <f t="shared" si="34"/>
        <v>68.251214434420547</v>
      </c>
      <c r="BP25" s="44">
        <f>BP22+BP23+BP24</f>
        <v>2882</v>
      </c>
      <c r="BQ25" s="82">
        <f>BQ22+BQ23+BQ24</f>
        <v>915</v>
      </c>
      <c r="BR25" s="46">
        <f t="shared" si="42"/>
        <v>31.74878556557946</v>
      </c>
      <c r="BS25" s="76">
        <f>BS22+BS23+BS24</f>
        <v>1967</v>
      </c>
      <c r="BT25" s="77">
        <f t="shared" si="35"/>
        <v>68.251214434420547</v>
      </c>
    </row>
    <row r="26" spans="1:72" s="6" customFormat="1" ht="26.4" customHeight="1" thickBot="1" x14ac:dyDescent="0.3">
      <c r="A26" s="459" t="s">
        <v>35</v>
      </c>
      <c r="B26" s="460"/>
      <c r="C26" s="66">
        <f>C21+C25</f>
        <v>10627</v>
      </c>
      <c r="D26" s="45">
        <f t="shared" ref="D26:Z26" si="45">D21+D25</f>
        <v>4778</v>
      </c>
      <c r="E26" s="67">
        <f t="shared" si="7"/>
        <v>44.960948527336029</v>
      </c>
      <c r="F26" s="82">
        <f t="shared" si="45"/>
        <v>5849</v>
      </c>
      <c r="G26" s="77">
        <f t="shared" si="8"/>
        <v>55.039051472663971</v>
      </c>
      <c r="H26" s="66" t="e">
        <f t="shared" si="45"/>
        <v>#REF!</v>
      </c>
      <c r="I26" s="45" t="e">
        <f t="shared" si="45"/>
        <v>#REF!</v>
      </c>
      <c r="J26" s="67" t="e">
        <f t="shared" si="10"/>
        <v>#REF!</v>
      </c>
      <c r="K26" s="82" t="e">
        <f t="shared" si="45"/>
        <v>#REF!</v>
      </c>
      <c r="L26" s="77" t="e">
        <f t="shared" si="11"/>
        <v>#REF!</v>
      </c>
      <c r="M26" s="66">
        <f t="shared" si="45"/>
        <v>10946</v>
      </c>
      <c r="N26" s="45">
        <f t="shared" si="45"/>
        <v>4981</v>
      </c>
      <c r="O26" s="67">
        <f t="shared" si="13"/>
        <v>45.505207381691939</v>
      </c>
      <c r="P26" s="82">
        <f t="shared" si="45"/>
        <v>5965</v>
      </c>
      <c r="Q26" s="77">
        <f t="shared" si="14"/>
        <v>54.494792618308061</v>
      </c>
      <c r="R26" s="66">
        <f t="shared" si="45"/>
        <v>11198</v>
      </c>
      <c r="S26" s="45">
        <f t="shared" si="45"/>
        <v>5117</v>
      </c>
      <c r="T26" s="67">
        <f t="shared" si="16"/>
        <v>45.695659939274869</v>
      </c>
      <c r="U26" s="82">
        <f t="shared" si="45"/>
        <v>6081</v>
      </c>
      <c r="V26" s="77">
        <f t="shared" si="17"/>
        <v>54.304340060725131</v>
      </c>
      <c r="W26" s="66">
        <f t="shared" si="45"/>
        <v>11363</v>
      </c>
      <c r="X26" s="45">
        <f t="shared" si="45"/>
        <v>5178</v>
      </c>
      <c r="Y26" s="67">
        <f t="shared" si="19"/>
        <v>45.568951861304235</v>
      </c>
      <c r="Z26" s="82">
        <f t="shared" si="45"/>
        <v>6185</v>
      </c>
      <c r="AA26" s="77">
        <f t="shared" si="20"/>
        <v>54.431048138695765</v>
      </c>
      <c r="AB26" s="66">
        <f>AB21+AB25</f>
        <v>11711</v>
      </c>
      <c r="AC26" s="45">
        <f>AC21+AC25</f>
        <v>5354</v>
      </c>
      <c r="AD26" s="67">
        <f t="shared" si="22"/>
        <v>45.717701306464008</v>
      </c>
      <c r="AE26" s="82">
        <f>AE21+AE25</f>
        <v>6357</v>
      </c>
      <c r="AF26" s="88">
        <f t="shared" si="23"/>
        <v>54.282298693535992</v>
      </c>
      <c r="AG26" s="44">
        <f>AG21+AG25</f>
        <v>12037</v>
      </c>
      <c r="AH26" s="45">
        <f>AH21+AH25</f>
        <v>5499</v>
      </c>
      <c r="AI26" s="67">
        <f t="shared" si="25"/>
        <v>45.684140566586358</v>
      </c>
      <c r="AJ26" s="82">
        <f>AJ21+AJ25</f>
        <v>6538</v>
      </c>
      <c r="AK26" s="77">
        <f t="shared" si="26"/>
        <v>54.315859433413642</v>
      </c>
      <c r="AL26" s="44">
        <f>AL21+AL25</f>
        <v>12412</v>
      </c>
      <c r="AM26" s="45">
        <f>AM21+AM25</f>
        <v>5706</v>
      </c>
      <c r="AN26" s="67">
        <f t="shared" si="28"/>
        <v>45.971640348050272</v>
      </c>
      <c r="AO26" s="82">
        <f>AO21+AO25</f>
        <v>6706</v>
      </c>
      <c r="AP26" s="77">
        <f t="shared" si="29"/>
        <v>54.028359651949728</v>
      </c>
      <c r="AQ26" s="44">
        <f>AQ21+AQ25</f>
        <v>12654</v>
      </c>
      <c r="AR26" s="45">
        <f>AR21+AR25</f>
        <v>5800</v>
      </c>
      <c r="AS26" s="67">
        <f t="shared" si="37"/>
        <v>45.835308993203732</v>
      </c>
      <c r="AT26" s="82">
        <f>AT21+AT25</f>
        <v>6854</v>
      </c>
      <c r="AU26" s="77">
        <f t="shared" si="30"/>
        <v>54.164691006796268</v>
      </c>
      <c r="AV26" s="44">
        <f>AV21+AV25</f>
        <v>12926</v>
      </c>
      <c r="AW26" s="45">
        <f>AW21+AW25</f>
        <v>5902</v>
      </c>
      <c r="AX26" s="67">
        <f t="shared" si="38"/>
        <v>45.659910258393936</v>
      </c>
      <c r="AY26" s="82">
        <f>AY21+AY25</f>
        <v>7024</v>
      </c>
      <c r="AZ26" s="77">
        <f t="shared" si="31"/>
        <v>54.340089741606064</v>
      </c>
      <c r="BA26" s="44">
        <f>BA21+BA25</f>
        <v>13185</v>
      </c>
      <c r="BB26" s="45">
        <f>BB21+BB25</f>
        <v>6064</v>
      </c>
      <c r="BC26" s="67">
        <f t="shared" si="39"/>
        <v>45.991657186196434</v>
      </c>
      <c r="BD26" s="82">
        <f>BD21+BD25</f>
        <v>7121</v>
      </c>
      <c r="BE26" s="77">
        <f t="shared" si="32"/>
        <v>54.008342813803566</v>
      </c>
      <c r="BF26" s="44">
        <f>BF21+BF25</f>
        <v>13451</v>
      </c>
      <c r="BG26" s="45">
        <f>BG21+BG25</f>
        <v>6250</v>
      </c>
      <c r="BH26" s="67">
        <f t="shared" si="40"/>
        <v>46.464946844100808</v>
      </c>
      <c r="BI26" s="82">
        <f>BI21+BI25</f>
        <v>7201</v>
      </c>
      <c r="BJ26" s="77">
        <f t="shared" si="33"/>
        <v>53.535053155899192</v>
      </c>
      <c r="BK26" s="44">
        <f>BK21+BK25</f>
        <v>13466</v>
      </c>
      <c r="BL26" s="45">
        <f>BL21+BL25</f>
        <v>6322</v>
      </c>
      <c r="BM26" s="67">
        <f t="shared" si="41"/>
        <v>46.947868706371601</v>
      </c>
      <c r="BN26" s="82">
        <f>BN21+BN25</f>
        <v>7144</v>
      </c>
      <c r="BO26" s="77">
        <f t="shared" si="34"/>
        <v>53.052131293628399</v>
      </c>
      <c r="BP26" s="44">
        <f>BP21+BP25</f>
        <v>12772</v>
      </c>
      <c r="BQ26" s="45">
        <f>BQ21+BQ25</f>
        <v>6041</v>
      </c>
      <c r="BR26" s="67">
        <f t="shared" si="42"/>
        <v>47.298778578139682</v>
      </c>
      <c r="BS26" s="82">
        <f>BS21+BS25</f>
        <v>6731</v>
      </c>
      <c r="BT26" s="77">
        <f t="shared" si="35"/>
        <v>52.701221421860318</v>
      </c>
    </row>
    <row r="27" spans="1:72" s="68" customFormat="1" x14ac:dyDescent="0.25">
      <c r="B27" s="6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72" s="68" customFormat="1" ht="15.6" x14ac:dyDescent="0.25">
      <c r="A28" s="83" t="s">
        <v>42</v>
      </c>
      <c r="B28" s="6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72" s="68" customFormat="1" x14ac:dyDescent="0.25">
      <c r="B29" s="6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72" s="68" customFormat="1" x14ac:dyDescent="0.25">
      <c r="B30" s="6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72" s="68" customFormat="1" x14ac:dyDescent="0.25">
      <c r="B31" s="6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72" s="68" customFormat="1" x14ac:dyDescent="0.25">
      <c r="B32" s="6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s="68" customFormat="1" x14ac:dyDescent="0.25">
      <c r="B33" s="6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s="68" customFormat="1" x14ac:dyDescent="0.25">
      <c r="B34" s="6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s="68" customFormat="1" x14ac:dyDescent="0.25">
      <c r="B35" s="6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s="68" customFormat="1" x14ac:dyDescent="0.25">
      <c r="B36" s="6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s="68" customFormat="1" x14ac:dyDescent="0.25">
      <c r="B37" s="6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s="68" customFormat="1" x14ac:dyDescent="0.25">
      <c r="B38" s="6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s="68" customFormat="1" x14ac:dyDescent="0.25">
      <c r="B39" s="6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s="68" customFormat="1" x14ac:dyDescent="0.25">
      <c r="B40" s="6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s="68" customFormat="1" x14ac:dyDescent="0.25">
      <c r="B41" s="6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s="68" customFormat="1" x14ac:dyDescent="0.25">
      <c r="B42" s="6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s="68" customFormat="1" x14ac:dyDescent="0.25">
      <c r="B43" s="6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s="68" customFormat="1" x14ac:dyDescent="0.25">
      <c r="B44" s="6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s="68" customFormat="1" x14ac:dyDescent="0.25">
      <c r="B45" s="6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s="68" customFormat="1" x14ac:dyDescent="0.25">
      <c r="B46" s="6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s="68" customFormat="1" x14ac:dyDescent="0.25">
      <c r="B47" s="6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s="68" customFormat="1" x14ac:dyDescent="0.25">
      <c r="B48" s="6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s="68" customFormat="1" x14ac:dyDescent="0.25">
      <c r="B49" s="6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s="68" customFormat="1" x14ac:dyDescent="0.25">
      <c r="B50" s="6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s="68" customFormat="1" x14ac:dyDescent="0.25">
      <c r="B51" s="6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s="68" customFormat="1" x14ac:dyDescent="0.25">
      <c r="B52" s="6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s="68" customFormat="1" x14ac:dyDescent="0.25">
      <c r="B53" s="6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s="68" customFormat="1" x14ac:dyDescent="0.25">
      <c r="B54" s="6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s="68" customFormat="1" x14ac:dyDescent="0.25">
      <c r="B55" s="6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s="68" customFormat="1" x14ac:dyDescent="0.25">
      <c r="B56" s="6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s="68" customFormat="1" x14ac:dyDescent="0.25">
      <c r="B57" s="6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s="68" customFormat="1" x14ac:dyDescent="0.25">
      <c r="B58" s="6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s="68" customFormat="1" x14ac:dyDescent="0.25">
      <c r="B59" s="6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s="68" customFormat="1" x14ac:dyDescent="0.25">
      <c r="B60" s="6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s="68" customFormat="1" x14ac:dyDescent="0.25">
      <c r="B61" s="6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s="68" customFormat="1" x14ac:dyDescent="0.25">
      <c r="B62" s="6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s="68" customFormat="1" x14ac:dyDescent="0.25">
      <c r="B63" s="6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s="68" customFormat="1" x14ac:dyDescent="0.25">
      <c r="B64" s="6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s="68" customFormat="1" x14ac:dyDescent="0.25">
      <c r="B65" s="6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s="68" customFormat="1" x14ac:dyDescent="0.25">
      <c r="B66" s="6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s="68" customFormat="1" x14ac:dyDescent="0.25">
      <c r="B67" s="6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s="68" customFormat="1" x14ac:dyDescent="0.25">
      <c r="B68" s="6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s="68" customFormat="1" x14ac:dyDescent="0.25">
      <c r="B69" s="6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s="68" customFormat="1" x14ac:dyDescent="0.25">
      <c r="B70" s="6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s="68" customFormat="1" x14ac:dyDescent="0.25">
      <c r="B71" s="6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s="68" customFormat="1" x14ac:dyDescent="0.25">
      <c r="B72" s="6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s="68" customFormat="1" x14ac:dyDescent="0.25">
      <c r="B73" s="6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s="68" customFormat="1" x14ac:dyDescent="0.25">
      <c r="B74" s="6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s="68" customFormat="1" x14ac:dyDescent="0.25">
      <c r="B75" s="6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s="68" customFormat="1" x14ac:dyDescent="0.25">
      <c r="B76" s="6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s="68" customFormat="1" x14ac:dyDescent="0.25">
      <c r="B77" s="6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s="68" customFormat="1" x14ac:dyDescent="0.25">
      <c r="B78" s="6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s="68" customFormat="1" x14ac:dyDescent="0.25">
      <c r="B79" s="6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s="68" customFormat="1" x14ac:dyDescent="0.25">
      <c r="B80" s="6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s="68" customFormat="1" x14ac:dyDescent="0.25">
      <c r="B81" s="6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s="68" customFormat="1" x14ac:dyDescent="0.25">
      <c r="B82" s="6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s="68" customFormat="1" x14ac:dyDescent="0.25">
      <c r="B83" s="6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s="68" customFormat="1" x14ac:dyDescent="0.25">
      <c r="B84" s="6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s="68" customFormat="1" x14ac:dyDescent="0.25">
      <c r="B85" s="6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s="68" customFormat="1" x14ac:dyDescent="0.25">
      <c r="B86" s="6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s="68" customFormat="1" x14ac:dyDescent="0.25">
      <c r="B87" s="6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s="68" customFormat="1" x14ac:dyDescent="0.25">
      <c r="B88" s="6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s="68" customFormat="1" x14ac:dyDescent="0.25">
      <c r="B89" s="6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s="68" customFormat="1" x14ac:dyDescent="0.25">
      <c r="B90" s="6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s="68" customFormat="1" x14ac:dyDescent="0.25">
      <c r="B91" s="6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s="68" customFormat="1" x14ac:dyDescent="0.25">
      <c r="B92" s="6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s="68" customFormat="1" x14ac:dyDescent="0.25">
      <c r="B93" s="6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s="68" customFormat="1" x14ac:dyDescent="0.25">
      <c r="B94" s="6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s="68" customFormat="1" x14ac:dyDescent="0.25">
      <c r="B95" s="6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s="68" customFormat="1" x14ac:dyDescent="0.25">
      <c r="B96" s="6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s="68" customFormat="1" x14ac:dyDescent="0.25">
      <c r="B97" s="6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s="68" customFormat="1" x14ac:dyDescent="0.25">
      <c r="B98" s="6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s="68" customFormat="1" x14ac:dyDescent="0.25">
      <c r="B99" s="6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s="68" customFormat="1" x14ac:dyDescent="0.25">
      <c r="B100" s="6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s="68" customFormat="1" x14ac:dyDescent="0.25">
      <c r="B101" s="69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s="68" customFormat="1" x14ac:dyDescent="0.25">
      <c r="B102" s="69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s="68" customFormat="1" x14ac:dyDescent="0.25">
      <c r="B103" s="69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s="68" customFormat="1" x14ac:dyDescent="0.25">
      <c r="B104" s="69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s="68" customFormat="1" x14ac:dyDescent="0.25">
      <c r="B105" s="6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s="68" customFormat="1" x14ac:dyDescent="0.25">
      <c r="B106" s="69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s="68" customFormat="1" x14ac:dyDescent="0.25">
      <c r="B107" s="69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s="68" customFormat="1" x14ac:dyDescent="0.25">
      <c r="B108" s="69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s="68" customFormat="1" x14ac:dyDescent="0.25">
      <c r="B109" s="69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s="68" customFormat="1" x14ac:dyDescent="0.25">
      <c r="B110" s="69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s="68" customFormat="1" x14ac:dyDescent="0.25">
      <c r="B111" s="69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s="68" customFormat="1" x14ac:dyDescent="0.25">
      <c r="B112" s="69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s="68" customFormat="1" x14ac:dyDescent="0.25">
      <c r="B113" s="69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s="68" customFormat="1" x14ac:dyDescent="0.25">
      <c r="B114" s="69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s="68" customFormat="1" x14ac:dyDescent="0.25">
      <c r="B115" s="69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s="68" customFormat="1" x14ac:dyDescent="0.25">
      <c r="B116" s="69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s="68" customFormat="1" x14ac:dyDescent="0.25">
      <c r="B117" s="69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s="68" customFormat="1" x14ac:dyDescent="0.25">
      <c r="B118" s="69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s="68" customFormat="1" x14ac:dyDescent="0.25">
      <c r="B119" s="69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s="68" customFormat="1" x14ac:dyDescent="0.25">
      <c r="B120" s="69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s="68" customFormat="1" x14ac:dyDescent="0.25">
      <c r="B121" s="69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s="68" customFormat="1" x14ac:dyDescent="0.25">
      <c r="B122" s="69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s="68" customFormat="1" x14ac:dyDescent="0.25">
      <c r="B123" s="6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s="68" customFormat="1" x14ac:dyDescent="0.25">
      <c r="B124" s="69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s="68" customFormat="1" x14ac:dyDescent="0.25">
      <c r="B125" s="6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s="68" customFormat="1" x14ac:dyDescent="0.25">
      <c r="B126" s="69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s="68" customFormat="1" x14ac:dyDescent="0.25">
      <c r="B127" s="69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s="68" customFormat="1" x14ac:dyDescent="0.25">
      <c r="B128" s="69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s="68" customFormat="1" x14ac:dyDescent="0.25">
      <c r="B129" s="69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s="68" customFormat="1" x14ac:dyDescent="0.25">
      <c r="B130" s="69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s="68" customFormat="1" x14ac:dyDescent="0.25">
      <c r="B131" s="69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s="68" customFormat="1" x14ac:dyDescent="0.25">
      <c r="B132" s="69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s="68" customFormat="1" x14ac:dyDescent="0.25">
      <c r="B133" s="6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s="68" customFormat="1" x14ac:dyDescent="0.25">
      <c r="B134" s="69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s="68" customFormat="1" x14ac:dyDescent="0.25">
      <c r="B135" s="69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s="68" customFormat="1" x14ac:dyDescent="0.25">
      <c r="B136" s="69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s="68" customFormat="1" x14ac:dyDescent="0.25">
      <c r="B137" s="6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s="68" customFormat="1" x14ac:dyDescent="0.25">
      <c r="B138" s="6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s="68" customFormat="1" x14ac:dyDescent="0.25">
      <c r="B139" s="6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s="68" customFormat="1" x14ac:dyDescent="0.25">
      <c r="B140" s="6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s="68" customFormat="1" x14ac:dyDescent="0.25">
      <c r="B141" s="6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s="68" customFormat="1" x14ac:dyDescent="0.25">
      <c r="B142" s="6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s="68" customFormat="1" x14ac:dyDescent="0.25">
      <c r="B143" s="6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s="68" customFormat="1" x14ac:dyDescent="0.25">
      <c r="B144" s="69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s="68" customFormat="1" x14ac:dyDescent="0.25">
      <c r="B145" s="6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s="68" customFormat="1" x14ac:dyDescent="0.25">
      <c r="B146" s="6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s="68" customFormat="1" x14ac:dyDescent="0.25">
      <c r="B147" s="6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s="68" customFormat="1" x14ac:dyDescent="0.25">
      <c r="B148" s="6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s="68" customFormat="1" x14ac:dyDescent="0.25">
      <c r="B149" s="6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s="68" customFormat="1" x14ac:dyDescent="0.25">
      <c r="B150" s="6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s="68" customFormat="1" x14ac:dyDescent="0.25">
      <c r="B151" s="6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s="68" customFormat="1" x14ac:dyDescent="0.25">
      <c r="B152" s="6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s="68" customFormat="1" x14ac:dyDescent="0.25">
      <c r="B153" s="6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s="68" customFormat="1" x14ac:dyDescent="0.25">
      <c r="B154" s="6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s="68" customFormat="1" x14ac:dyDescent="0.25">
      <c r="B155" s="6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s="68" customFormat="1" x14ac:dyDescent="0.25">
      <c r="B156" s="6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s="68" customFormat="1" x14ac:dyDescent="0.25">
      <c r="B157" s="6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s="68" customFormat="1" x14ac:dyDescent="0.25">
      <c r="B158" s="6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s="68" customFormat="1" x14ac:dyDescent="0.25">
      <c r="B159" s="6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s="68" customFormat="1" x14ac:dyDescent="0.25">
      <c r="B160" s="6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s="68" customFormat="1" x14ac:dyDescent="0.25">
      <c r="B161" s="6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s="68" customFormat="1" x14ac:dyDescent="0.25">
      <c r="B162" s="6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s="68" customFormat="1" x14ac:dyDescent="0.25">
      <c r="B163" s="6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s="68" customFormat="1" x14ac:dyDescent="0.25">
      <c r="B164" s="6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s="68" customFormat="1" x14ac:dyDescent="0.25">
      <c r="B165" s="6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s="68" customFormat="1" x14ac:dyDescent="0.25">
      <c r="B166" s="6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s="68" customFormat="1" x14ac:dyDescent="0.25">
      <c r="B167" s="6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s="68" customFormat="1" x14ac:dyDescent="0.25">
      <c r="B168" s="6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s="68" customFormat="1" x14ac:dyDescent="0.25">
      <c r="B169" s="6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s="68" customFormat="1" x14ac:dyDescent="0.25">
      <c r="B170" s="6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s="68" customFormat="1" x14ac:dyDescent="0.25">
      <c r="B171" s="6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s="68" customFormat="1" x14ac:dyDescent="0.25">
      <c r="B172" s="6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s="68" customFormat="1" x14ac:dyDescent="0.25">
      <c r="B173" s="6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s="68" customFormat="1" x14ac:dyDescent="0.25">
      <c r="B174" s="6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s="68" customFormat="1" x14ac:dyDescent="0.25">
      <c r="B175" s="6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s="68" customFormat="1" x14ac:dyDescent="0.25">
      <c r="B176" s="6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s="68" customFormat="1" x14ac:dyDescent="0.25">
      <c r="B177" s="6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s="68" customFormat="1" x14ac:dyDescent="0.25">
      <c r="B178" s="6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s="68" customFormat="1" x14ac:dyDescent="0.25">
      <c r="B179" s="6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s="68" customFormat="1" x14ac:dyDescent="0.25">
      <c r="B180" s="6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s="68" customFormat="1" x14ac:dyDescent="0.25">
      <c r="B181" s="6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s="68" customFormat="1" x14ac:dyDescent="0.25">
      <c r="B182" s="6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s="68" customFormat="1" x14ac:dyDescent="0.25">
      <c r="B183" s="6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s="68" customFormat="1" x14ac:dyDescent="0.25">
      <c r="B184" s="6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s="68" customFormat="1" x14ac:dyDescent="0.25">
      <c r="B185" s="6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s="68" customFormat="1" x14ac:dyDescent="0.25">
      <c r="B186" s="6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s="68" customFormat="1" x14ac:dyDescent="0.25">
      <c r="B187" s="6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s="68" customFormat="1" x14ac:dyDescent="0.25">
      <c r="B188" s="6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s="68" customFormat="1" x14ac:dyDescent="0.25">
      <c r="B189" s="6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s="68" customFormat="1" x14ac:dyDescent="0.25">
      <c r="B190" s="6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s="68" customFormat="1" x14ac:dyDescent="0.25">
      <c r="B191" s="6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s="68" customFormat="1" x14ac:dyDescent="0.25">
      <c r="B192" s="6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s="68" customFormat="1" x14ac:dyDescent="0.25">
      <c r="B193" s="6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s="68" customFormat="1" x14ac:dyDescent="0.25">
      <c r="B194" s="6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s="68" customFormat="1" x14ac:dyDescent="0.25">
      <c r="B195" s="6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s="68" customFormat="1" x14ac:dyDescent="0.25">
      <c r="B196" s="6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s="68" customFormat="1" x14ac:dyDescent="0.25">
      <c r="B197" s="6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s="68" customFormat="1" x14ac:dyDescent="0.25">
      <c r="B198" s="6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s="68" customFormat="1" x14ac:dyDescent="0.25">
      <c r="B199" s="6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s="68" customFormat="1" x14ac:dyDescent="0.25">
      <c r="B200" s="6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s="68" customFormat="1" x14ac:dyDescent="0.25">
      <c r="B201" s="6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s="68" customFormat="1" x14ac:dyDescent="0.25">
      <c r="B202" s="6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s="68" customFormat="1" x14ac:dyDescent="0.25">
      <c r="B203" s="6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s="68" customFormat="1" x14ac:dyDescent="0.25">
      <c r="B204" s="6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s="68" customFormat="1" x14ac:dyDescent="0.25">
      <c r="B205" s="6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s="68" customFormat="1" x14ac:dyDescent="0.25">
      <c r="B206" s="6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s="68" customFormat="1" x14ac:dyDescent="0.25">
      <c r="B207" s="6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s="68" customFormat="1" x14ac:dyDescent="0.25">
      <c r="B208" s="6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s="68" customFormat="1" x14ac:dyDescent="0.25">
      <c r="B209" s="6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s="68" customFormat="1" x14ac:dyDescent="0.25">
      <c r="B210" s="6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s="68" customFormat="1" x14ac:dyDescent="0.25">
      <c r="B211" s="6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s="68" customFormat="1" x14ac:dyDescent="0.25">
      <c r="B212" s="6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s="68" customFormat="1" x14ac:dyDescent="0.25">
      <c r="B213" s="6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s="68" customFormat="1" x14ac:dyDescent="0.25">
      <c r="B214" s="6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s="68" customFormat="1" x14ac:dyDescent="0.25">
      <c r="B215" s="6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s="68" customFormat="1" x14ac:dyDescent="0.25">
      <c r="B216" s="6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s="68" customFormat="1" x14ac:dyDescent="0.25">
      <c r="B217" s="6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s="68" customFormat="1" x14ac:dyDescent="0.25">
      <c r="B218" s="6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s="68" customFormat="1" x14ac:dyDescent="0.25">
      <c r="B219" s="6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s="68" customFormat="1" x14ac:dyDescent="0.25">
      <c r="B220" s="6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s="68" customFormat="1" x14ac:dyDescent="0.25">
      <c r="B221" s="6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s="68" customFormat="1" x14ac:dyDescent="0.25">
      <c r="B222" s="6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s="68" customFormat="1" x14ac:dyDescent="0.25">
      <c r="B223" s="6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2:42" s="68" customFormat="1" x14ac:dyDescent="0.25">
      <c r="B224" s="6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2:42" s="68" customFormat="1" x14ac:dyDescent="0.25">
      <c r="B225" s="6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2:42" s="68" customFormat="1" x14ac:dyDescent="0.25">
      <c r="B226" s="6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2:42" s="68" customFormat="1" x14ac:dyDescent="0.25">
      <c r="B227" s="6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2:42" s="68" customFormat="1" x14ac:dyDescent="0.25">
      <c r="B228" s="6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2:42" s="68" customFormat="1" x14ac:dyDescent="0.25">
      <c r="B229" s="6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2:42" s="68" customFormat="1" x14ac:dyDescent="0.25">
      <c r="B230" s="6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2:42" s="68" customFormat="1" x14ac:dyDescent="0.25">
      <c r="B231" s="6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2:42" s="68" customFormat="1" x14ac:dyDescent="0.25">
      <c r="B232" s="6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2:42" s="68" customFormat="1" x14ac:dyDescent="0.25">
      <c r="B233" s="6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2:42" s="68" customFormat="1" x14ac:dyDescent="0.25">
      <c r="B234" s="6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2:42" s="68" customFormat="1" x14ac:dyDescent="0.25">
      <c r="B235" s="6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2:42" s="68" customFormat="1" x14ac:dyDescent="0.25">
      <c r="B236" s="6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2:42" s="68" customFormat="1" x14ac:dyDescent="0.25">
      <c r="B237" s="6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2:42" s="68" customFormat="1" x14ac:dyDescent="0.25">
      <c r="B238" s="6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2:42" s="68" customFormat="1" x14ac:dyDescent="0.25">
      <c r="B239" s="6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2:42" s="68" customFormat="1" x14ac:dyDescent="0.25">
      <c r="B240" s="6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2:42" s="68" customFormat="1" x14ac:dyDescent="0.25">
      <c r="B241" s="6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2:42" s="68" customFormat="1" x14ac:dyDescent="0.25">
      <c r="B242" s="6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2:42" s="68" customFormat="1" x14ac:dyDescent="0.25">
      <c r="B243" s="6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2:42" s="68" customFormat="1" x14ac:dyDescent="0.25">
      <c r="B244" s="6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2:42" s="68" customFormat="1" x14ac:dyDescent="0.25">
      <c r="B245" s="6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2:42" s="68" customFormat="1" x14ac:dyDescent="0.25">
      <c r="B246" s="6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2:42" x14ac:dyDescent="0.25">
      <c r="B247" s="69"/>
    </row>
    <row r="248" spans="2:42" x14ac:dyDescent="0.25">
      <c r="B248" s="69"/>
    </row>
    <row r="249" spans="2:42" x14ac:dyDescent="0.25">
      <c r="B249" s="69"/>
    </row>
    <row r="250" spans="2:42" x14ac:dyDescent="0.25">
      <c r="B250" s="69"/>
    </row>
    <row r="251" spans="2:42" x14ac:dyDescent="0.25">
      <c r="B251" s="69"/>
    </row>
    <row r="252" spans="2:42" x14ac:dyDescent="0.25">
      <c r="B252" s="69"/>
    </row>
    <row r="253" spans="2:42" x14ac:dyDescent="0.25">
      <c r="B253" s="69"/>
    </row>
    <row r="254" spans="2:42" x14ac:dyDescent="0.25">
      <c r="B254" s="69"/>
    </row>
  </sheetData>
  <mergeCells count="73">
    <mergeCell ref="BK5:BO5"/>
    <mergeCell ref="BK6:BK8"/>
    <mergeCell ref="BL6:BO6"/>
    <mergeCell ref="BL7:BM7"/>
    <mergeCell ref="BN7:BO7"/>
    <mergeCell ref="BP5:BT5"/>
    <mergeCell ref="BP6:BP8"/>
    <mergeCell ref="BQ6:BT6"/>
    <mergeCell ref="BQ7:BR7"/>
    <mergeCell ref="BS7:BT7"/>
    <mergeCell ref="AG5:AK5"/>
    <mergeCell ref="BF5:BJ5"/>
    <mergeCell ref="BF6:BF8"/>
    <mergeCell ref="BG6:BJ6"/>
    <mergeCell ref="BG7:BH7"/>
    <mergeCell ref="BI7:BJ7"/>
    <mergeCell ref="BA5:BE5"/>
    <mergeCell ref="BA6:BA8"/>
    <mergeCell ref="BB6:BE6"/>
    <mergeCell ref="BB7:BC7"/>
    <mergeCell ref="BD7:BE7"/>
    <mergeCell ref="AL5:AP5"/>
    <mergeCell ref="AL6:AL8"/>
    <mergeCell ref="AM6:AP6"/>
    <mergeCell ref="AV5:AZ5"/>
    <mergeCell ref="AV6:AV8"/>
    <mergeCell ref="S7:T7"/>
    <mergeCell ref="R5:V5"/>
    <mergeCell ref="U7:V7"/>
    <mergeCell ref="W5:AA5"/>
    <mergeCell ref="AB6:AB8"/>
    <mergeCell ref="W6:W8"/>
    <mergeCell ref="R6:R8"/>
    <mergeCell ref="S6:V6"/>
    <mergeCell ref="AB5:AF5"/>
    <mergeCell ref="AC6:AF6"/>
    <mergeCell ref="AC7:AD7"/>
    <mergeCell ref="X7:Y7"/>
    <mergeCell ref="Z7:AA7"/>
    <mergeCell ref="X6:AA6"/>
    <mergeCell ref="A26:B26"/>
    <mergeCell ref="D7:E7"/>
    <mergeCell ref="F7:G7"/>
    <mergeCell ref="M6:M8"/>
    <mergeCell ref="N6:Q6"/>
    <mergeCell ref="C5:G5"/>
    <mergeCell ref="A21:B21"/>
    <mergeCell ref="A25:B25"/>
    <mergeCell ref="A5:A8"/>
    <mergeCell ref="B5:B8"/>
    <mergeCell ref="C6:C8"/>
    <mergeCell ref="D6:G6"/>
    <mergeCell ref="H5:L5"/>
    <mergeCell ref="I7:J7"/>
    <mergeCell ref="K7:L7"/>
    <mergeCell ref="M5:Q5"/>
    <mergeCell ref="N7:O7"/>
    <mergeCell ref="P7:Q7"/>
    <mergeCell ref="AQ5:AU5"/>
    <mergeCell ref="AQ6:AQ8"/>
    <mergeCell ref="AR6:AU6"/>
    <mergeCell ref="AR7:AS7"/>
    <mergeCell ref="AT7:AU7"/>
    <mergeCell ref="AM7:AN7"/>
    <mergeCell ref="AO7:AP7"/>
    <mergeCell ref="AE7:AF7"/>
    <mergeCell ref="AW6:AZ6"/>
    <mergeCell ref="AW7:AX7"/>
    <mergeCell ref="AY7:AZ7"/>
    <mergeCell ref="AH7:AI7"/>
    <mergeCell ref="AJ7:AK7"/>
    <mergeCell ref="AG6:AG8"/>
    <mergeCell ref="AH6:AK6"/>
  </mergeCells>
  <phoneticPr fontId="0" type="noConversion"/>
  <pageMargins left="0.39" right="0.21" top="1.19" bottom="0.63" header="0.57999999999999996" footer="0.4921259845"/>
  <pageSetup paperSize="9" scale="35" orientation="landscape" r:id="rId1"/>
  <headerFooter alignWithMargins="0">
    <oddFooter>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254"/>
  <sheetViews>
    <sheetView topLeftCell="CE1" workbookViewId="0">
      <selection activeCell="DJ10" sqref="DJ10"/>
    </sheetView>
  </sheetViews>
  <sheetFormatPr baseColWidth="10" defaultColWidth="11.44140625" defaultRowHeight="13.2" x14ac:dyDescent="0.25"/>
  <cols>
    <col min="1" max="1" width="3.6640625" style="3" customWidth="1"/>
    <col min="2" max="2" width="20.88671875" style="4" customWidth="1"/>
    <col min="3" max="3" width="6.6640625" style="3" hidden="1" customWidth="1"/>
    <col min="4" max="8" width="6.5546875" style="3" hidden="1" customWidth="1"/>
    <col min="9" max="9" width="4.5546875" style="3" hidden="1" customWidth="1"/>
    <col min="10" max="10" width="7.109375" style="3" hidden="1" customWidth="1"/>
    <col min="11" max="12" width="6.5546875" style="3" hidden="1" customWidth="1"/>
    <col min="13" max="13" width="6.6640625" style="3" hidden="1" customWidth="1"/>
    <col min="14" max="14" width="4.5546875" style="3" hidden="1" customWidth="1"/>
    <col min="15" max="15" width="6.6640625" style="3" hidden="1" customWidth="1"/>
    <col min="16" max="16" width="4.5546875" style="3" hidden="1" customWidth="1"/>
    <col min="17" max="17" width="0.33203125" style="3" customWidth="1"/>
    <col min="18" max="18" width="6.5546875" style="3" hidden="1" customWidth="1"/>
    <col min="19" max="19" width="5.5546875" style="3" hidden="1" customWidth="1"/>
    <col min="20" max="20" width="6.6640625" style="3" hidden="1" customWidth="1"/>
    <col min="21" max="21" width="4.5546875" style="3" hidden="1" customWidth="1"/>
    <col min="22" max="22" width="6.6640625" style="3" hidden="1" customWidth="1"/>
    <col min="23" max="23" width="4.5546875" style="3" hidden="1" customWidth="1"/>
    <col min="24" max="24" width="0.109375" style="3" hidden="1" customWidth="1"/>
    <col min="25" max="25" width="6.5546875" style="3" hidden="1" customWidth="1"/>
    <col min="26" max="26" width="5.5546875" style="3" hidden="1" customWidth="1"/>
    <col min="27" max="30" width="6.5546875" style="3" hidden="1" customWidth="1"/>
    <col min="31" max="31" width="6.6640625" style="3" hidden="1" customWidth="1"/>
    <col min="32" max="32" width="6.5546875" style="3" hidden="1" customWidth="1"/>
    <col min="33" max="33" width="5.5546875" style="3" hidden="1" customWidth="1"/>
    <col min="34" max="37" width="6.5546875" style="3" hidden="1" customWidth="1"/>
    <col min="38" max="38" width="6.6640625" style="3" hidden="1" customWidth="1"/>
    <col min="39" max="39" width="6.5546875" style="3" hidden="1" customWidth="1"/>
    <col min="40" max="40" width="5.5546875" style="3" hidden="1" customWidth="1"/>
    <col min="41" max="41" width="6.5546875" style="3" hidden="1" customWidth="1"/>
    <col min="42" max="42" width="4.5546875" style="3" hidden="1" customWidth="1"/>
    <col min="43" max="43" width="6.5546875" style="3" hidden="1" customWidth="1"/>
    <col min="44" max="44" width="4.5546875" style="3" hidden="1" customWidth="1"/>
    <col min="45" max="45" width="0.5546875" style="3" hidden="1" customWidth="1"/>
    <col min="46" max="46" width="6.5546875" style="3" hidden="1" customWidth="1"/>
    <col min="47" max="47" width="5.5546875" style="3" hidden="1" customWidth="1"/>
    <col min="48" max="48" width="6.5546875" style="3" hidden="1" customWidth="1"/>
    <col min="49" max="49" width="4.5546875" style="3" hidden="1" customWidth="1"/>
    <col min="50" max="50" width="6.5546875" style="3" hidden="1" customWidth="1"/>
    <col min="51" max="51" width="4.5546875" style="3" hidden="1" customWidth="1"/>
    <col min="52" max="52" width="6.6640625" style="3" hidden="1" customWidth="1"/>
    <col min="53" max="53" width="6.5546875" style="3" hidden="1" customWidth="1"/>
    <col min="54" max="54" width="5.5546875" style="3" hidden="1" customWidth="1"/>
    <col min="55" max="55" width="6.5546875" style="3" hidden="1" customWidth="1"/>
    <col min="56" max="56" width="4.5546875" style="3" hidden="1" customWidth="1"/>
    <col min="57" max="57" width="6.5546875" style="3" hidden="1" customWidth="1"/>
    <col min="58" max="58" width="5.5546875" style="3" hidden="1" customWidth="1"/>
    <col min="59" max="59" width="0.5546875" style="3" customWidth="1"/>
    <col min="60" max="60" width="6.5546875" style="3" hidden="1" customWidth="1"/>
    <col min="61" max="61" width="5.5546875" style="3" hidden="1" customWidth="1"/>
    <col min="62" max="62" width="6.5546875" style="3" hidden="1" customWidth="1"/>
    <col min="63" max="63" width="4.5546875" style="3" hidden="1" customWidth="1"/>
    <col min="64" max="64" width="6.5546875" style="3" hidden="1" customWidth="1"/>
    <col min="65" max="65" width="5.5546875" style="3" hidden="1" customWidth="1"/>
    <col min="66" max="66" width="6.6640625" style="3" customWidth="1"/>
    <col min="67" max="67" width="6.5546875" style="3" customWidth="1"/>
    <col min="68" max="68" width="5.5546875" style="3" bestFit="1" customWidth="1"/>
    <col min="69" max="69" width="6.5546875" style="3" customWidth="1"/>
    <col min="70" max="70" width="4.5546875" style="3" bestFit="1" customWidth="1"/>
    <col min="71" max="71" width="6.5546875" style="3" customWidth="1"/>
    <col min="72" max="72" width="5.5546875" style="3" bestFit="1" customWidth="1"/>
    <col min="73" max="73" width="6.33203125" style="5" customWidth="1"/>
    <col min="74" max="74" width="6.6640625" style="5" customWidth="1"/>
    <col min="75" max="75" width="6" style="5" customWidth="1"/>
    <col min="76" max="76" width="6.5546875" style="5" customWidth="1"/>
    <col min="77" max="77" width="6.6640625" style="5" customWidth="1"/>
    <col min="78" max="78" width="6.33203125" style="5" customWidth="1"/>
    <col min="79" max="79" width="5.6640625" style="5" customWidth="1"/>
    <col min="80" max="80" width="7.33203125" style="5" customWidth="1"/>
    <col min="81" max="81" width="6.33203125" style="5" customWidth="1"/>
    <col min="82" max="82" width="6.6640625" style="5" customWidth="1"/>
    <col min="83" max="83" width="3.44140625" style="5" customWidth="1"/>
    <col min="84" max="85" width="5.6640625" style="5" hidden="1" customWidth="1"/>
    <col min="86" max="86" width="5.44140625" style="5" hidden="1" customWidth="1"/>
    <col min="87" max="87" width="6.88671875" style="5" customWidth="1"/>
    <col min="88" max="88" width="6.6640625" style="5" customWidth="1"/>
    <col min="89" max="93" width="5.6640625" style="5" customWidth="1"/>
    <col min="94" max="94" width="6.6640625" style="5" customWidth="1"/>
    <col min="95" max="95" width="6.88671875" style="5" customWidth="1"/>
    <col min="96" max="96" width="5.6640625" style="5" customWidth="1"/>
    <col min="97" max="97" width="6.5546875" style="5" customWidth="1"/>
    <col min="98" max="98" width="5.33203125" style="5" customWidth="1"/>
    <col min="99" max="99" width="5.88671875" style="5" customWidth="1"/>
    <col min="100" max="100" width="5.6640625" style="5" customWidth="1"/>
    <col min="101" max="101" width="6.88671875" style="5" customWidth="1"/>
    <col min="102" max="102" width="6.44140625" style="5" customWidth="1"/>
    <col min="103" max="103" width="5.6640625" style="5" customWidth="1"/>
    <col min="104" max="104" width="6.6640625" style="5" customWidth="1"/>
    <col min="105" max="105" width="5.6640625" style="5" customWidth="1"/>
    <col min="106" max="106" width="6.6640625" style="5" customWidth="1"/>
    <col min="107" max="107" width="5.6640625" style="5" customWidth="1"/>
    <col min="108" max="108" width="6.88671875" style="5" customWidth="1"/>
    <col min="109" max="109" width="6.44140625" style="5" customWidth="1"/>
    <col min="110" max="110" width="5.6640625" style="5" customWidth="1"/>
    <col min="111" max="111" width="6.6640625" style="5" customWidth="1"/>
    <col min="112" max="112" width="5.6640625" style="5" customWidth="1"/>
    <col min="113" max="113" width="6.6640625" style="5" customWidth="1"/>
    <col min="114" max="114" width="5.6640625" style="5" customWidth="1"/>
    <col min="115" max="16384" width="11.44140625" style="5"/>
  </cols>
  <sheetData>
    <row r="1" spans="1:114" s="1" customFormat="1" x14ac:dyDescent="0.25">
      <c r="A1" s="1" t="s">
        <v>38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114" s="1" customFormat="1" x14ac:dyDescent="0.25">
      <c r="A2" s="1" t="s">
        <v>61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4" spans="1:114" ht="13.8" thickBot="1" x14ac:dyDescent="0.3"/>
    <row r="5" spans="1:114" s="6" customFormat="1" ht="15" customHeight="1" x14ac:dyDescent="0.25">
      <c r="A5" s="463" t="s">
        <v>28</v>
      </c>
      <c r="B5" s="466" t="s">
        <v>29</v>
      </c>
      <c r="C5" s="450" t="s">
        <v>26</v>
      </c>
      <c r="D5" s="451"/>
      <c r="E5" s="451"/>
      <c r="F5" s="451"/>
      <c r="G5" s="451"/>
      <c r="H5" s="451"/>
      <c r="I5" s="452"/>
      <c r="J5" s="450" t="s">
        <v>48</v>
      </c>
      <c r="K5" s="451"/>
      <c r="L5" s="451"/>
      <c r="M5" s="451"/>
      <c r="N5" s="451"/>
      <c r="O5" s="451"/>
      <c r="P5" s="452"/>
      <c r="Q5" s="450" t="s">
        <v>63</v>
      </c>
      <c r="R5" s="451"/>
      <c r="S5" s="451"/>
      <c r="T5" s="451"/>
      <c r="U5" s="451"/>
      <c r="V5" s="451"/>
      <c r="W5" s="452"/>
      <c r="X5" s="450" t="s">
        <v>22</v>
      </c>
      <c r="Y5" s="451"/>
      <c r="Z5" s="451"/>
      <c r="AA5" s="451"/>
      <c r="AB5" s="451"/>
      <c r="AC5" s="451"/>
      <c r="AD5" s="452"/>
      <c r="AE5" s="450" t="s">
        <v>23</v>
      </c>
      <c r="AF5" s="451"/>
      <c r="AG5" s="451"/>
      <c r="AH5" s="451"/>
      <c r="AI5" s="451"/>
      <c r="AJ5" s="451"/>
      <c r="AK5" s="452"/>
      <c r="AL5" s="450" t="s">
        <v>24</v>
      </c>
      <c r="AM5" s="451"/>
      <c r="AN5" s="451"/>
      <c r="AO5" s="451"/>
      <c r="AP5" s="451"/>
      <c r="AQ5" s="451"/>
      <c r="AR5" s="452"/>
      <c r="AS5" s="450" t="s">
        <v>25</v>
      </c>
      <c r="AT5" s="451"/>
      <c r="AU5" s="451"/>
      <c r="AV5" s="451"/>
      <c r="AW5" s="451"/>
      <c r="AX5" s="451"/>
      <c r="AY5" s="452"/>
      <c r="AZ5" s="450" t="s">
        <v>27</v>
      </c>
      <c r="BA5" s="451"/>
      <c r="BB5" s="451"/>
      <c r="BC5" s="451"/>
      <c r="BD5" s="451"/>
      <c r="BE5" s="451"/>
      <c r="BF5" s="452"/>
      <c r="BG5" s="450" t="s">
        <v>47</v>
      </c>
      <c r="BH5" s="451"/>
      <c r="BI5" s="451"/>
      <c r="BJ5" s="451"/>
      <c r="BK5" s="451"/>
      <c r="BL5" s="451"/>
      <c r="BM5" s="452"/>
      <c r="BN5" s="450" t="s">
        <v>50</v>
      </c>
      <c r="BO5" s="451"/>
      <c r="BP5" s="451"/>
      <c r="BQ5" s="451"/>
      <c r="BR5" s="451"/>
      <c r="BS5" s="451"/>
      <c r="BT5" s="452"/>
      <c r="BU5" s="450" t="s">
        <v>64</v>
      </c>
      <c r="BV5" s="451"/>
      <c r="BW5" s="451"/>
      <c r="BX5" s="451"/>
      <c r="BY5" s="451"/>
      <c r="BZ5" s="451"/>
      <c r="CA5" s="452"/>
      <c r="CB5" s="450" t="s">
        <v>65</v>
      </c>
      <c r="CC5" s="451"/>
      <c r="CD5" s="451"/>
      <c r="CE5" s="451"/>
      <c r="CF5" s="451"/>
      <c r="CG5" s="451"/>
      <c r="CH5" s="452"/>
      <c r="CI5" s="450" t="s">
        <v>66</v>
      </c>
      <c r="CJ5" s="451"/>
      <c r="CK5" s="451"/>
      <c r="CL5" s="451"/>
      <c r="CM5" s="451"/>
      <c r="CN5" s="451"/>
      <c r="CO5" s="452"/>
      <c r="CP5" s="450" t="s">
        <v>71</v>
      </c>
      <c r="CQ5" s="451"/>
      <c r="CR5" s="451"/>
      <c r="CS5" s="451"/>
      <c r="CT5" s="451"/>
      <c r="CU5" s="451"/>
      <c r="CV5" s="452"/>
      <c r="CW5" s="450" t="s">
        <v>79</v>
      </c>
      <c r="CX5" s="451"/>
      <c r="CY5" s="451"/>
      <c r="CZ5" s="451"/>
      <c r="DA5" s="451"/>
      <c r="DB5" s="451"/>
      <c r="DC5" s="452"/>
      <c r="DD5" s="450" t="s">
        <v>82</v>
      </c>
      <c r="DE5" s="451"/>
      <c r="DF5" s="451"/>
      <c r="DG5" s="451"/>
      <c r="DH5" s="451"/>
      <c r="DI5" s="451"/>
      <c r="DJ5" s="452"/>
    </row>
    <row r="6" spans="1:114" s="6" customFormat="1" ht="15.75" customHeight="1" x14ac:dyDescent="0.25">
      <c r="A6" s="464"/>
      <c r="B6" s="467"/>
      <c r="C6" s="472" t="s">
        <v>30</v>
      </c>
      <c r="D6" s="475" t="s">
        <v>58</v>
      </c>
      <c r="E6" s="476"/>
      <c r="F6" s="476"/>
      <c r="G6" s="476"/>
      <c r="H6" s="476"/>
      <c r="I6" s="477"/>
      <c r="J6" s="472" t="s">
        <v>30</v>
      </c>
      <c r="K6" s="475" t="s">
        <v>58</v>
      </c>
      <c r="L6" s="476"/>
      <c r="M6" s="476"/>
      <c r="N6" s="476"/>
      <c r="O6" s="476"/>
      <c r="P6" s="477"/>
      <c r="Q6" s="472" t="s">
        <v>30</v>
      </c>
      <c r="R6" s="475" t="s">
        <v>58</v>
      </c>
      <c r="S6" s="476"/>
      <c r="T6" s="476"/>
      <c r="U6" s="476"/>
      <c r="V6" s="476"/>
      <c r="W6" s="477"/>
      <c r="X6" s="472" t="s">
        <v>30</v>
      </c>
      <c r="Y6" s="475" t="s">
        <v>58</v>
      </c>
      <c r="Z6" s="476"/>
      <c r="AA6" s="476"/>
      <c r="AB6" s="476"/>
      <c r="AC6" s="476"/>
      <c r="AD6" s="477"/>
      <c r="AE6" s="472" t="s">
        <v>30</v>
      </c>
      <c r="AF6" s="475" t="s">
        <v>58</v>
      </c>
      <c r="AG6" s="476"/>
      <c r="AH6" s="476"/>
      <c r="AI6" s="476"/>
      <c r="AJ6" s="476"/>
      <c r="AK6" s="477"/>
      <c r="AL6" s="472" t="s">
        <v>30</v>
      </c>
      <c r="AM6" s="475" t="s">
        <v>58</v>
      </c>
      <c r="AN6" s="476"/>
      <c r="AO6" s="476"/>
      <c r="AP6" s="476"/>
      <c r="AQ6" s="476"/>
      <c r="AR6" s="477"/>
      <c r="AS6" s="472" t="s">
        <v>30</v>
      </c>
      <c r="AT6" s="475" t="s">
        <v>58</v>
      </c>
      <c r="AU6" s="476"/>
      <c r="AV6" s="476"/>
      <c r="AW6" s="476"/>
      <c r="AX6" s="476"/>
      <c r="AY6" s="477"/>
      <c r="AZ6" s="472" t="s">
        <v>30</v>
      </c>
      <c r="BA6" s="475" t="s">
        <v>58</v>
      </c>
      <c r="BB6" s="476"/>
      <c r="BC6" s="476"/>
      <c r="BD6" s="476"/>
      <c r="BE6" s="476"/>
      <c r="BF6" s="477"/>
      <c r="BG6" s="472" t="s">
        <v>30</v>
      </c>
      <c r="BH6" s="475" t="s">
        <v>58</v>
      </c>
      <c r="BI6" s="476"/>
      <c r="BJ6" s="476"/>
      <c r="BK6" s="476"/>
      <c r="BL6" s="476"/>
      <c r="BM6" s="477"/>
      <c r="BN6" s="472" t="s">
        <v>30</v>
      </c>
      <c r="BO6" s="475" t="s">
        <v>58</v>
      </c>
      <c r="BP6" s="476"/>
      <c r="BQ6" s="476"/>
      <c r="BR6" s="476"/>
      <c r="BS6" s="476"/>
      <c r="BT6" s="477"/>
      <c r="BU6" s="472" t="s">
        <v>30</v>
      </c>
      <c r="BV6" s="475" t="s">
        <v>58</v>
      </c>
      <c r="BW6" s="476"/>
      <c r="BX6" s="476"/>
      <c r="BY6" s="476"/>
      <c r="BZ6" s="476"/>
      <c r="CA6" s="477"/>
      <c r="CB6" s="472" t="s">
        <v>30</v>
      </c>
      <c r="CC6" s="475" t="s">
        <v>58</v>
      </c>
      <c r="CD6" s="476"/>
      <c r="CE6" s="476"/>
      <c r="CF6" s="476"/>
      <c r="CG6" s="476"/>
      <c r="CH6" s="477"/>
      <c r="CI6" s="472" t="s">
        <v>30</v>
      </c>
      <c r="CJ6" s="475" t="s">
        <v>58</v>
      </c>
      <c r="CK6" s="476"/>
      <c r="CL6" s="476"/>
      <c r="CM6" s="476"/>
      <c r="CN6" s="476"/>
      <c r="CO6" s="477"/>
      <c r="CP6" s="472" t="s">
        <v>30</v>
      </c>
      <c r="CQ6" s="475" t="s">
        <v>58</v>
      </c>
      <c r="CR6" s="476"/>
      <c r="CS6" s="476"/>
      <c r="CT6" s="476"/>
      <c r="CU6" s="476"/>
      <c r="CV6" s="477"/>
      <c r="CW6" s="472" t="s">
        <v>30</v>
      </c>
      <c r="CX6" s="475" t="s">
        <v>58</v>
      </c>
      <c r="CY6" s="476"/>
      <c r="CZ6" s="476"/>
      <c r="DA6" s="476"/>
      <c r="DB6" s="476"/>
      <c r="DC6" s="477"/>
      <c r="DD6" s="472" t="s">
        <v>30</v>
      </c>
      <c r="DE6" s="475" t="s">
        <v>58</v>
      </c>
      <c r="DF6" s="476"/>
      <c r="DG6" s="476"/>
      <c r="DH6" s="476"/>
      <c r="DI6" s="476"/>
      <c r="DJ6" s="477"/>
    </row>
    <row r="7" spans="1:114" ht="34.5" customHeight="1" x14ac:dyDescent="0.25">
      <c r="A7" s="464"/>
      <c r="B7" s="467"/>
      <c r="C7" s="473"/>
      <c r="D7" s="478" t="s">
        <v>62</v>
      </c>
      <c r="E7" s="479"/>
      <c r="F7" s="453" t="s">
        <v>51</v>
      </c>
      <c r="G7" s="454"/>
      <c r="H7" s="453" t="s">
        <v>52</v>
      </c>
      <c r="I7" s="454"/>
      <c r="J7" s="473"/>
      <c r="K7" s="478" t="s">
        <v>62</v>
      </c>
      <c r="L7" s="479"/>
      <c r="M7" s="453" t="s">
        <v>51</v>
      </c>
      <c r="N7" s="454"/>
      <c r="O7" s="453" t="s">
        <v>52</v>
      </c>
      <c r="P7" s="454"/>
      <c r="Q7" s="473"/>
      <c r="R7" s="478" t="s">
        <v>62</v>
      </c>
      <c r="S7" s="479"/>
      <c r="T7" s="453" t="s">
        <v>51</v>
      </c>
      <c r="U7" s="454"/>
      <c r="V7" s="453" t="s">
        <v>52</v>
      </c>
      <c r="W7" s="454"/>
      <c r="X7" s="473"/>
      <c r="Y7" s="478" t="s">
        <v>62</v>
      </c>
      <c r="Z7" s="479"/>
      <c r="AA7" s="453" t="s">
        <v>51</v>
      </c>
      <c r="AB7" s="454"/>
      <c r="AC7" s="453" t="s">
        <v>52</v>
      </c>
      <c r="AD7" s="454"/>
      <c r="AE7" s="473"/>
      <c r="AF7" s="478" t="s">
        <v>62</v>
      </c>
      <c r="AG7" s="479"/>
      <c r="AH7" s="453" t="s">
        <v>51</v>
      </c>
      <c r="AI7" s="454"/>
      <c r="AJ7" s="453" t="s">
        <v>52</v>
      </c>
      <c r="AK7" s="454"/>
      <c r="AL7" s="473"/>
      <c r="AM7" s="478" t="s">
        <v>62</v>
      </c>
      <c r="AN7" s="479"/>
      <c r="AO7" s="453" t="s">
        <v>51</v>
      </c>
      <c r="AP7" s="454"/>
      <c r="AQ7" s="453" t="s">
        <v>52</v>
      </c>
      <c r="AR7" s="454"/>
      <c r="AS7" s="473"/>
      <c r="AT7" s="478" t="s">
        <v>62</v>
      </c>
      <c r="AU7" s="479"/>
      <c r="AV7" s="453" t="s">
        <v>51</v>
      </c>
      <c r="AW7" s="454"/>
      <c r="AX7" s="453" t="s">
        <v>52</v>
      </c>
      <c r="AY7" s="454"/>
      <c r="AZ7" s="473"/>
      <c r="BA7" s="478" t="s">
        <v>62</v>
      </c>
      <c r="BB7" s="479"/>
      <c r="BC7" s="453" t="s">
        <v>51</v>
      </c>
      <c r="BD7" s="454"/>
      <c r="BE7" s="453" t="s">
        <v>52</v>
      </c>
      <c r="BF7" s="454"/>
      <c r="BG7" s="473"/>
      <c r="BH7" s="478" t="s">
        <v>62</v>
      </c>
      <c r="BI7" s="479"/>
      <c r="BJ7" s="453" t="s">
        <v>51</v>
      </c>
      <c r="BK7" s="454"/>
      <c r="BL7" s="480" t="s">
        <v>52</v>
      </c>
      <c r="BM7" s="481"/>
      <c r="BN7" s="473"/>
      <c r="BO7" s="478" t="s">
        <v>62</v>
      </c>
      <c r="BP7" s="479"/>
      <c r="BQ7" s="453" t="s">
        <v>51</v>
      </c>
      <c r="BR7" s="454"/>
      <c r="BS7" s="480" t="s">
        <v>52</v>
      </c>
      <c r="BT7" s="481"/>
      <c r="BU7" s="473"/>
      <c r="BV7" s="478" t="s">
        <v>62</v>
      </c>
      <c r="BW7" s="479"/>
      <c r="BX7" s="453" t="s">
        <v>51</v>
      </c>
      <c r="BY7" s="454"/>
      <c r="BZ7" s="480" t="s">
        <v>52</v>
      </c>
      <c r="CA7" s="481"/>
      <c r="CB7" s="473"/>
      <c r="CC7" s="478" t="s">
        <v>62</v>
      </c>
      <c r="CD7" s="479"/>
      <c r="CE7" s="453" t="s">
        <v>51</v>
      </c>
      <c r="CF7" s="454"/>
      <c r="CG7" s="480" t="s">
        <v>52</v>
      </c>
      <c r="CH7" s="481"/>
      <c r="CI7" s="473"/>
      <c r="CJ7" s="478" t="s">
        <v>62</v>
      </c>
      <c r="CK7" s="479"/>
      <c r="CL7" s="453" t="s">
        <v>51</v>
      </c>
      <c r="CM7" s="454"/>
      <c r="CN7" s="480" t="s">
        <v>52</v>
      </c>
      <c r="CO7" s="481"/>
      <c r="CP7" s="473"/>
      <c r="CQ7" s="478" t="s">
        <v>62</v>
      </c>
      <c r="CR7" s="479"/>
      <c r="CS7" s="453" t="s">
        <v>51</v>
      </c>
      <c r="CT7" s="454"/>
      <c r="CU7" s="480" t="s">
        <v>52</v>
      </c>
      <c r="CV7" s="481"/>
      <c r="CW7" s="473"/>
      <c r="CX7" s="478" t="s">
        <v>62</v>
      </c>
      <c r="CY7" s="479"/>
      <c r="CZ7" s="453" t="s">
        <v>51</v>
      </c>
      <c r="DA7" s="454"/>
      <c r="DB7" s="480" t="s">
        <v>52</v>
      </c>
      <c r="DC7" s="481"/>
      <c r="DD7" s="473"/>
      <c r="DE7" s="478" t="s">
        <v>62</v>
      </c>
      <c r="DF7" s="479"/>
      <c r="DG7" s="453" t="s">
        <v>51</v>
      </c>
      <c r="DH7" s="454"/>
      <c r="DI7" s="480" t="s">
        <v>52</v>
      </c>
      <c r="DJ7" s="481"/>
    </row>
    <row r="8" spans="1:114" s="11" customFormat="1" ht="22.5" customHeight="1" thickBot="1" x14ac:dyDescent="0.3">
      <c r="A8" s="465"/>
      <c r="B8" s="468"/>
      <c r="C8" s="474"/>
      <c r="D8" s="99" t="s">
        <v>43</v>
      </c>
      <c r="E8" s="100" t="s">
        <v>44</v>
      </c>
      <c r="F8" s="99" t="s">
        <v>43</v>
      </c>
      <c r="G8" s="101" t="s">
        <v>44</v>
      </c>
      <c r="H8" s="99" t="s">
        <v>43</v>
      </c>
      <c r="I8" s="102" t="s">
        <v>44</v>
      </c>
      <c r="J8" s="474"/>
      <c r="K8" s="99" t="s">
        <v>43</v>
      </c>
      <c r="L8" s="100" t="s">
        <v>44</v>
      </c>
      <c r="M8" s="99" t="s">
        <v>43</v>
      </c>
      <c r="N8" s="101" t="s">
        <v>44</v>
      </c>
      <c r="O8" s="99" t="s">
        <v>43</v>
      </c>
      <c r="P8" s="102" t="s">
        <v>44</v>
      </c>
      <c r="Q8" s="474"/>
      <c r="R8" s="99" t="s">
        <v>43</v>
      </c>
      <c r="S8" s="100" t="s">
        <v>44</v>
      </c>
      <c r="T8" s="99" t="s">
        <v>43</v>
      </c>
      <c r="U8" s="101" t="s">
        <v>44</v>
      </c>
      <c r="V8" s="99" t="s">
        <v>43</v>
      </c>
      <c r="W8" s="102" t="s">
        <v>44</v>
      </c>
      <c r="X8" s="474"/>
      <c r="Y8" s="99" t="s">
        <v>43</v>
      </c>
      <c r="Z8" s="100" t="s">
        <v>44</v>
      </c>
      <c r="AA8" s="99" t="s">
        <v>43</v>
      </c>
      <c r="AB8" s="101" t="s">
        <v>44</v>
      </c>
      <c r="AC8" s="99" t="s">
        <v>43</v>
      </c>
      <c r="AD8" s="102" t="s">
        <v>44</v>
      </c>
      <c r="AE8" s="474"/>
      <c r="AF8" s="99" t="s">
        <v>43</v>
      </c>
      <c r="AG8" s="100" t="s">
        <v>44</v>
      </c>
      <c r="AH8" s="99" t="s">
        <v>43</v>
      </c>
      <c r="AI8" s="101" t="s">
        <v>44</v>
      </c>
      <c r="AJ8" s="99" t="s">
        <v>43</v>
      </c>
      <c r="AK8" s="102" t="s">
        <v>44</v>
      </c>
      <c r="AL8" s="474"/>
      <c r="AM8" s="99" t="s">
        <v>43</v>
      </c>
      <c r="AN8" s="100" t="s">
        <v>44</v>
      </c>
      <c r="AO8" s="99" t="s">
        <v>43</v>
      </c>
      <c r="AP8" s="101" t="s">
        <v>44</v>
      </c>
      <c r="AQ8" s="99" t="s">
        <v>43</v>
      </c>
      <c r="AR8" s="102" t="s">
        <v>44</v>
      </c>
      <c r="AS8" s="474"/>
      <c r="AT8" s="99" t="s">
        <v>43</v>
      </c>
      <c r="AU8" s="100" t="s">
        <v>44</v>
      </c>
      <c r="AV8" s="99" t="s">
        <v>43</v>
      </c>
      <c r="AW8" s="101" t="s">
        <v>44</v>
      </c>
      <c r="AX8" s="99" t="s">
        <v>43</v>
      </c>
      <c r="AY8" s="102" t="s">
        <v>44</v>
      </c>
      <c r="AZ8" s="474"/>
      <c r="BA8" s="99" t="s">
        <v>43</v>
      </c>
      <c r="BB8" s="100" t="s">
        <v>44</v>
      </c>
      <c r="BC8" s="99" t="s">
        <v>43</v>
      </c>
      <c r="BD8" s="101" t="s">
        <v>44</v>
      </c>
      <c r="BE8" s="99" t="s">
        <v>43</v>
      </c>
      <c r="BF8" s="102" t="s">
        <v>44</v>
      </c>
      <c r="BG8" s="474"/>
      <c r="BH8" s="99" t="s">
        <v>43</v>
      </c>
      <c r="BI8" s="100" t="s">
        <v>44</v>
      </c>
      <c r="BJ8" s="99" t="s">
        <v>43</v>
      </c>
      <c r="BK8" s="101" t="s">
        <v>44</v>
      </c>
      <c r="BL8" s="99" t="s">
        <v>43</v>
      </c>
      <c r="BM8" s="102" t="s">
        <v>44</v>
      </c>
      <c r="BN8" s="474"/>
      <c r="BO8" s="99" t="s">
        <v>43</v>
      </c>
      <c r="BP8" s="100" t="s">
        <v>44</v>
      </c>
      <c r="BQ8" s="99" t="s">
        <v>43</v>
      </c>
      <c r="BR8" s="101" t="s">
        <v>44</v>
      </c>
      <c r="BS8" s="99" t="s">
        <v>43</v>
      </c>
      <c r="BT8" s="102" t="s">
        <v>44</v>
      </c>
      <c r="BU8" s="474"/>
      <c r="BV8" s="99" t="s">
        <v>43</v>
      </c>
      <c r="BW8" s="100" t="s">
        <v>44</v>
      </c>
      <c r="BX8" s="99" t="s">
        <v>43</v>
      </c>
      <c r="BY8" s="101" t="s">
        <v>44</v>
      </c>
      <c r="BZ8" s="99" t="s">
        <v>43</v>
      </c>
      <c r="CA8" s="102" t="s">
        <v>44</v>
      </c>
      <c r="CB8" s="474"/>
      <c r="CC8" s="99" t="s">
        <v>43</v>
      </c>
      <c r="CD8" s="100" t="s">
        <v>44</v>
      </c>
      <c r="CE8" s="99" t="s">
        <v>43</v>
      </c>
      <c r="CF8" s="101" t="s">
        <v>44</v>
      </c>
      <c r="CG8" s="99" t="s">
        <v>43</v>
      </c>
      <c r="CH8" s="102" t="s">
        <v>44</v>
      </c>
      <c r="CI8" s="474"/>
      <c r="CJ8" s="99" t="s">
        <v>43</v>
      </c>
      <c r="CK8" s="100" t="s">
        <v>44</v>
      </c>
      <c r="CL8" s="99" t="s">
        <v>43</v>
      </c>
      <c r="CM8" s="101" t="s">
        <v>44</v>
      </c>
      <c r="CN8" s="99" t="s">
        <v>43</v>
      </c>
      <c r="CO8" s="102" t="s">
        <v>44</v>
      </c>
      <c r="CP8" s="474"/>
      <c r="CQ8" s="107" t="s">
        <v>43</v>
      </c>
      <c r="CR8" s="108" t="s">
        <v>44</v>
      </c>
      <c r="CS8" s="107" t="s">
        <v>43</v>
      </c>
      <c r="CT8" s="109" t="s">
        <v>44</v>
      </c>
      <c r="CU8" s="107" t="s">
        <v>43</v>
      </c>
      <c r="CV8" s="110" t="s">
        <v>44</v>
      </c>
      <c r="CW8" s="474"/>
      <c r="CX8" s="107" t="s">
        <v>43</v>
      </c>
      <c r="CY8" s="108" t="s">
        <v>44</v>
      </c>
      <c r="CZ8" s="107" t="s">
        <v>43</v>
      </c>
      <c r="DA8" s="109" t="s">
        <v>44</v>
      </c>
      <c r="DB8" s="107" t="s">
        <v>43</v>
      </c>
      <c r="DC8" s="110" t="s">
        <v>44</v>
      </c>
      <c r="DD8" s="474"/>
      <c r="DE8" s="107" t="s">
        <v>43</v>
      </c>
      <c r="DF8" s="108" t="s">
        <v>44</v>
      </c>
      <c r="DG8" s="107" t="s">
        <v>43</v>
      </c>
      <c r="DH8" s="109" t="s">
        <v>44</v>
      </c>
      <c r="DI8" s="107" t="s">
        <v>43</v>
      </c>
      <c r="DJ8" s="110" t="s">
        <v>44</v>
      </c>
    </row>
    <row r="9" spans="1:114" s="18" customFormat="1" ht="15" customHeight="1" thickBot="1" x14ac:dyDescent="0.3">
      <c r="A9" s="12">
        <v>1</v>
      </c>
      <c r="B9" s="13">
        <v>2</v>
      </c>
      <c r="C9" s="14">
        <v>3</v>
      </c>
      <c r="D9" s="15">
        <v>4</v>
      </c>
      <c r="E9" s="16">
        <v>5</v>
      </c>
      <c r="F9" s="15">
        <v>4</v>
      </c>
      <c r="G9" s="16">
        <v>5</v>
      </c>
      <c r="H9" s="13">
        <v>6</v>
      </c>
      <c r="I9" s="17">
        <v>7</v>
      </c>
      <c r="J9" s="14">
        <v>3</v>
      </c>
      <c r="K9" s="15">
        <v>4</v>
      </c>
      <c r="L9" s="16">
        <v>5</v>
      </c>
      <c r="M9" s="15">
        <v>4</v>
      </c>
      <c r="N9" s="16">
        <v>5</v>
      </c>
      <c r="O9" s="13">
        <v>6</v>
      </c>
      <c r="P9" s="17">
        <v>7</v>
      </c>
      <c r="Q9" s="14">
        <v>3</v>
      </c>
      <c r="R9" s="15">
        <v>4</v>
      </c>
      <c r="S9" s="16">
        <v>5</v>
      </c>
      <c r="T9" s="15">
        <v>6</v>
      </c>
      <c r="U9" s="16">
        <v>7</v>
      </c>
      <c r="V9" s="13">
        <v>8</v>
      </c>
      <c r="W9" s="17">
        <v>9</v>
      </c>
      <c r="X9" s="14">
        <v>8</v>
      </c>
      <c r="Y9" s="15">
        <v>4</v>
      </c>
      <c r="Z9" s="16">
        <v>5</v>
      </c>
      <c r="AA9" s="15">
        <v>9</v>
      </c>
      <c r="AB9" s="16">
        <v>10</v>
      </c>
      <c r="AC9" s="13">
        <v>11</v>
      </c>
      <c r="AD9" s="17">
        <v>12</v>
      </c>
      <c r="AE9" s="14">
        <v>8</v>
      </c>
      <c r="AF9" s="15">
        <v>4</v>
      </c>
      <c r="AG9" s="16">
        <v>5</v>
      </c>
      <c r="AH9" s="15">
        <v>9</v>
      </c>
      <c r="AI9" s="16">
        <v>10</v>
      </c>
      <c r="AJ9" s="13">
        <v>11</v>
      </c>
      <c r="AK9" s="17">
        <v>12</v>
      </c>
      <c r="AL9" s="14">
        <v>10</v>
      </c>
      <c r="AM9" s="15">
        <v>11</v>
      </c>
      <c r="AN9" s="16">
        <v>12</v>
      </c>
      <c r="AO9" s="15">
        <v>13</v>
      </c>
      <c r="AP9" s="16">
        <v>14</v>
      </c>
      <c r="AQ9" s="13">
        <v>15</v>
      </c>
      <c r="AR9" s="17">
        <v>16</v>
      </c>
      <c r="AS9" s="14">
        <v>17</v>
      </c>
      <c r="AT9" s="15">
        <v>18</v>
      </c>
      <c r="AU9" s="16">
        <v>19</v>
      </c>
      <c r="AV9" s="15">
        <v>20</v>
      </c>
      <c r="AW9" s="16">
        <v>21</v>
      </c>
      <c r="AX9" s="13">
        <v>22</v>
      </c>
      <c r="AY9" s="17">
        <v>23</v>
      </c>
      <c r="AZ9" s="14">
        <v>24</v>
      </c>
      <c r="BA9" s="15">
        <v>25</v>
      </c>
      <c r="BB9" s="16">
        <v>26</v>
      </c>
      <c r="BC9" s="15">
        <v>27</v>
      </c>
      <c r="BD9" s="16">
        <v>28</v>
      </c>
      <c r="BE9" s="13">
        <v>29</v>
      </c>
      <c r="BF9" s="17">
        <v>30</v>
      </c>
      <c r="BG9" s="14">
        <v>31</v>
      </c>
      <c r="BH9" s="15">
        <v>32</v>
      </c>
      <c r="BI9" s="16">
        <v>33</v>
      </c>
      <c r="BJ9" s="15">
        <v>34</v>
      </c>
      <c r="BK9" s="16">
        <v>35</v>
      </c>
      <c r="BL9" s="13">
        <v>36</v>
      </c>
      <c r="BM9" s="17">
        <v>37</v>
      </c>
      <c r="BN9" s="14">
        <v>38</v>
      </c>
      <c r="BO9" s="15">
        <v>39</v>
      </c>
      <c r="BP9" s="16">
        <v>40</v>
      </c>
      <c r="BQ9" s="15">
        <v>41</v>
      </c>
      <c r="BR9" s="16">
        <v>42</v>
      </c>
      <c r="BS9" s="13">
        <v>43</v>
      </c>
      <c r="BT9" s="17">
        <v>44</v>
      </c>
      <c r="BU9" s="14">
        <v>45</v>
      </c>
      <c r="BV9" s="15">
        <v>46</v>
      </c>
      <c r="BW9" s="16">
        <v>47</v>
      </c>
      <c r="BX9" s="15">
        <v>48</v>
      </c>
      <c r="BY9" s="16">
        <v>49</v>
      </c>
      <c r="BZ9" s="13">
        <v>50</v>
      </c>
      <c r="CA9" s="17">
        <v>51</v>
      </c>
      <c r="CB9" s="14">
        <v>45</v>
      </c>
      <c r="CC9" s="15">
        <v>46</v>
      </c>
      <c r="CD9" s="16">
        <v>47</v>
      </c>
      <c r="CE9" s="15">
        <v>48</v>
      </c>
      <c r="CF9" s="16">
        <v>49</v>
      </c>
      <c r="CG9" s="13">
        <v>50</v>
      </c>
      <c r="CH9" s="17">
        <v>51</v>
      </c>
      <c r="CI9" s="14">
        <v>45</v>
      </c>
      <c r="CJ9" s="15">
        <v>46</v>
      </c>
      <c r="CK9" s="16">
        <v>47</v>
      </c>
      <c r="CL9" s="15">
        <v>48</v>
      </c>
      <c r="CM9" s="16">
        <v>49</v>
      </c>
      <c r="CN9" s="13">
        <v>50</v>
      </c>
      <c r="CO9" s="17">
        <v>51</v>
      </c>
      <c r="CP9" s="14">
        <v>52</v>
      </c>
      <c r="CQ9" s="15">
        <v>53</v>
      </c>
      <c r="CR9" s="16">
        <v>54</v>
      </c>
      <c r="CS9" s="15">
        <v>55</v>
      </c>
      <c r="CT9" s="16">
        <v>56</v>
      </c>
      <c r="CU9" s="13">
        <v>57</v>
      </c>
      <c r="CV9" s="17">
        <v>58</v>
      </c>
      <c r="CW9" s="14">
        <v>59</v>
      </c>
      <c r="CX9" s="15">
        <v>60</v>
      </c>
      <c r="CY9" s="16">
        <v>61</v>
      </c>
      <c r="CZ9" s="15">
        <v>62</v>
      </c>
      <c r="DA9" s="16">
        <v>63</v>
      </c>
      <c r="DB9" s="13">
        <v>64</v>
      </c>
      <c r="DC9" s="17">
        <v>65</v>
      </c>
      <c r="DD9" s="14">
        <v>59</v>
      </c>
      <c r="DE9" s="15">
        <v>60</v>
      </c>
      <c r="DF9" s="16">
        <v>61</v>
      </c>
      <c r="DG9" s="15">
        <v>62</v>
      </c>
      <c r="DH9" s="16">
        <v>63</v>
      </c>
      <c r="DI9" s="13">
        <v>64</v>
      </c>
      <c r="DJ9" s="17">
        <v>65</v>
      </c>
    </row>
    <row r="10" spans="1:114" ht="26.4" customHeight="1" x14ac:dyDescent="0.25">
      <c r="A10" s="19">
        <v>1</v>
      </c>
      <c r="B10" s="20" t="s">
        <v>11</v>
      </c>
      <c r="C10" s="21">
        <v>1017</v>
      </c>
      <c r="D10" s="22">
        <f>C10-F10-H10</f>
        <v>985</v>
      </c>
      <c r="E10" s="23">
        <f>D10*100/C10</f>
        <v>96.853490658800396</v>
      </c>
      <c r="F10" s="22">
        <v>1</v>
      </c>
      <c r="G10" s="23">
        <f>F10*100/C10</f>
        <v>9.8328416912487712E-2</v>
      </c>
      <c r="H10" s="24">
        <v>31</v>
      </c>
      <c r="I10" s="25">
        <f>H10*100/C10</f>
        <v>3.0481809242871192</v>
      </c>
      <c r="J10" s="21">
        <v>1015</v>
      </c>
      <c r="K10" s="22">
        <f>J10-M10-O10</f>
        <v>987</v>
      </c>
      <c r="L10" s="23">
        <f>K10*100/J10</f>
        <v>97.241379310344826</v>
      </c>
      <c r="M10" s="22">
        <v>0</v>
      </c>
      <c r="N10" s="23">
        <f>M10*100/J10</f>
        <v>0</v>
      </c>
      <c r="O10" s="24">
        <v>28</v>
      </c>
      <c r="P10" s="25">
        <f>O10*100/J10</f>
        <v>2.7586206896551726</v>
      </c>
      <c r="Q10" s="21">
        <v>1015</v>
      </c>
      <c r="R10" s="22">
        <f>Q10-T10-V10</f>
        <v>988</v>
      </c>
      <c r="S10" s="23">
        <f>R10*100/Q10</f>
        <v>97.339901477832512</v>
      </c>
      <c r="T10" s="22">
        <v>0</v>
      </c>
      <c r="U10" s="23">
        <f>T10*100/Q10</f>
        <v>0</v>
      </c>
      <c r="V10" s="24">
        <v>27</v>
      </c>
      <c r="W10" s="25">
        <f>V10*100/Q10</f>
        <v>2.6600985221674875</v>
      </c>
      <c r="X10" s="21">
        <v>1091</v>
      </c>
      <c r="Y10" s="22">
        <f>X10-AA10-AC10</f>
        <v>1052</v>
      </c>
      <c r="Z10" s="23">
        <f>Y10*100/X10</f>
        <v>96.425297891842348</v>
      </c>
      <c r="AA10" s="22">
        <v>4</v>
      </c>
      <c r="AB10" s="23">
        <f>AA10*100/X10</f>
        <v>0.36663611365719523</v>
      </c>
      <c r="AC10" s="24">
        <v>35</v>
      </c>
      <c r="AD10" s="25">
        <f>AC10*100/X10</f>
        <v>3.2080659945004584</v>
      </c>
      <c r="AE10" s="21">
        <v>1127</v>
      </c>
      <c r="AF10" s="22">
        <f>AE10-AH10-AJ10</f>
        <v>1097</v>
      </c>
      <c r="AG10" s="23">
        <f>AF10*100/AE10</f>
        <v>97.338065661047025</v>
      </c>
      <c r="AH10" s="22">
        <v>0</v>
      </c>
      <c r="AI10" s="23">
        <f>AH10*100/AE10</f>
        <v>0</v>
      </c>
      <c r="AJ10" s="24">
        <v>30</v>
      </c>
      <c r="AK10" s="25">
        <f>AJ10*100/AE10</f>
        <v>2.6619343389529724</v>
      </c>
      <c r="AL10" s="21">
        <v>1148</v>
      </c>
      <c r="AM10" s="22">
        <f>AL10-AO10-AQ10</f>
        <v>1114</v>
      </c>
      <c r="AN10" s="23">
        <f>AM10*100/AL10</f>
        <v>97.038327526132406</v>
      </c>
      <c r="AO10" s="22">
        <v>0</v>
      </c>
      <c r="AP10" s="23">
        <f>AO10*100/AL10</f>
        <v>0</v>
      </c>
      <c r="AQ10" s="24">
        <v>34</v>
      </c>
      <c r="AR10" s="25">
        <f>AQ10*100/AL10</f>
        <v>2.9616724738675959</v>
      </c>
      <c r="AS10" s="21">
        <v>1158</v>
      </c>
      <c r="AT10" s="22">
        <f>AS10-AV10-AX10</f>
        <v>1122</v>
      </c>
      <c r="AU10" s="23">
        <f>AT10*100/AS10</f>
        <v>96.891191709844563</v>
      </c>
      <c r="AV10" s="22">
        <v>0</v>
      </c>
      <c r="AW10" s="23">
        <f>AV10*100/AS10</f>
        <v>0</v>
      </c>
      <c r="AX10" s="24">
        <v>36</v>
      </c>
      <c r="AY10" s="25">
        <f>AX10*100/AS10</f>
        <v>3.1088082901554404</v>
      </c>
      <c r="AZ10" s="21">
        <v>1173</v>
      </c>
      <c r="BA10" s="22">
        <f>AZ10-BC10-BE10</f>
        <v>1139</v>
      </c>
      <c r="BB10" s="23">
        <f>BA10*100/AZ10</f>
        <v>97.101449275362313</v>
      </c>
      <c r="BC10" s="22">
        <v>0</v>
      </c>
      <c r="BD10" s="23">
        <f>BC10*100/AZ10</f>
        <v>0</v>
      </c>
      <c r="BE10" s="24">
        <v>34</v>
      </c>
      <c r="BF10" s="26">
        <f>BE10*100/AZ10</f>
        <v>2.8985507246376812</v>
      </c>
      <c r="BG10" s="21">
        <v>1184</v>
      </c>
      <c r="BH10" s="22">
        <f>BG10-BJ10-BL10</f>
        <v>1149</v>
      </c>
      <c r="BI10" s="23">
        <f>BH10*100/BG10</f>
        <v>97.043918918918919</v>
      </c>
      <c r="BJ10" s="22">
        <v>0</v>
      </c>
      <c r="BK10" s="23">
        <f>BJ10*100/BG10</f>
        <v>0</v>
      </c>
      <c r="BL10" s="24">
        <v>35</v>
      </c>
      <c r="BM10" s="26">
        <f>BL10*100/BG10</f>
        <v>2.9560810810810811</v>
      </c>
      <c r="BN10" s="21">
        <v>1213</v>
      </c>
      <c r="BO10" s="22">
        <f>BN10-BQ10-BS10</f>
        <v>1178</v>
      </c>
      <c r="BP10" s="23">
        <f>BO10*100/BN10</f>
        <v>97.114591920857379</v>
      </c>
      <c r="BQ10" s="22">
        <v>1</v>
      </c>
      <c r="BR10" s="23">
        <f>BQ10*100/BN10</f>
        <v>8.244023083264633E-2</v>
      </c>
      <c r="BS10" s="24">
        <v>34</v>
      </c>
      <c r="BT10" s="26">
        <f>BS10*100/BN10</f>
        <v>2.8029678483099754</v>
      </c>
      <c r="BU10" s="21">
        <v>1248</v>
      </c>
      <c r="BV10" s="22">
        <f>BU10-BX10-BZ10</f>
        <v>1220</v>
      </c>
      <c r="BW10" s="23">
        <f>BV10*100/BU10</f>
        <v>97.756410256410263</v>
      </c>
      <c r="BX10" s="22">
        <v>0</v>
      </c>
      <c r="BY10" s="23">
        <f>BX10*100/BU10</f>
        <v>0</v>
      </c>
      <c r="BZ10" s="24">
        <v>28</v>
      </c>
      <c r="CA10" s="26">
        <f>BZ10*100/BU10</f>
        <v>2.2435897435897436</v>
      </c>
      <c r="CB10" s="21">
        <v>1299</v>
      </c>
      <c r="CC10" s="22">
        <f>CB10-CE10-CG10</f>
        <v>1270</v>
      </c>
      <c r="CD10" s="23">
        <f>CC10*100/CB10</f>
        <v>97.767513471901466</v>
      </c>
      <c r="CE10" s="22">
        <v>1</v>
      </c>
      <c r="CF10" s="23">
        <f>CE10*100/CB10</f>
        <v>7.6982294072363358E-2</v>
      </c>
      <c r="CG10" s="24">
        <v>28</v>
      </c>
      <c r="CH10" s="26">
        <f>CG10*100/CB10</f>
        <v>2.1555042340261741</v>
      </c>
      <c r="CI10" s="21">
        <v>1327</v>
      </c>
      <c r="CJ10" s="22">
        <f>CI10-CL10-CN10</f>
        <v>1300</v>
      </c>
      <c r="CK10" s="23">
        <f>CJ10*100/CI10</f>
        <v>97.965335342878674</v>
      </c>
      <c r="CL10" s="22">
        <v>1</v>
      </c>
      <c r="CM10" s="23">
        <f>CL10*100/CI10</f>
        <v>7.5357950263752832E-2</v>
      </c>
      <c r="CN10" s="24">
        <v>26</v>
      </c>
      <c r="CO10" s="26">
        <f>CN10*100/CI10</f>
        <v>1.9593067068575736</v>
      </c>
      <c r="CP10" s="21">
        <v>1357</v>
      </c>
      <c r="CQ10" s="22">
        <f>CP10-CS10-CU10</f>
        <v>1331</v>
      </c>
      <c r="CR10" s="23">
        <f>CQ10*100/CP10</f>
        <v>98.084008843036102</v>
      </c>
      <c r="CS10" s="22">
        <v>1</v>
      </c>
      <c r="CT10" s="23">
        <f>CS10*100/CP10</f>
        <v>7.369196757553427E-2</v>
      </c>
      <c r="CU10" s="24">
        <v>25</v>
      </c>
      <c r="CV10" s="26">
        <f>CU10*100/CP10</f>
        <v>1.8422991893883567</v>
      </c>
      <c r="CW10" s="21">
        <v>1368</v>
      </c>
      <c r="CX10" s="22">
        <f>CW10-CZ10-DB10</f>
        <v>1340</v>
      </c>
      <c r="CY10" s="23">
        <f>CX10*100/CW10</f>
        <v>97.953216374269005</v>
      </c>
      <c r="CZ10" s="22">
        <v>1</v>
      </c>
      <c r="DA10" s="23">
        <f>CZ10*100/CW10</f>
        <v>7.3099415204678359E-2</v>
      </c>
      <c r="DB10" s="24">
        <v>27</v>
      </c>
      <c r="DC10" s="26">
        <f>DB10*100/CW10</f>
        <v>1.9736842105263157</v>
      </c>
      <c r="DD10" s="21">
        <v>1281</v>
      </c>
      <c r="DE10" s="22">
        <f>DD10-DG10-DI10</f>
        <v>1252</v>
      </c>
      <c r="DF10" s="23">
        <f>DE10*100/DD10</f>
        <v>97.736143637782988</v>
      </c>
      <c r="DG10" s="22">
        <v>1</v>
      </c>
      <c r="DH10" s="23">
        <f>DG10*100/DD10</f>
        <v>7.8064012490242002E-2</v>
      </c>
      <c r="DI10" s="24">
        <v>28</v>
      </c>
      <c r="DJ10" s="26">
        <f>DI10*100/DD10</f>
        <v>2.1857923497267762</v>
      </c>
    </row>
    <row r="11" spans="1:114" ht="26.4" customHeight="1" x14ac:dyDescent="0.25">
      <c r="A11" s="27">
        <f>A10+1</f>
        <v>2</v>
      </c>
      <c r="B11" s="28" t="s">
        <v>12</v>
      </c>
      <c r="C11" s="29">
        <v>536</v>
      </c>
      <c r="D11" s="30">
        <f t="shared" ref="D11:D26" si="0">C11-F11-H11</f>
        <v>503</v>
      </c>
      <c r="E11" s="31">
        <f t="shared" ref="E11:E26" si="1">D11*100/C11</f>
        <v>93.843283582089555</v>
      </c>
      <c r="F11" s="30">
        <v>0</v>
      </c>
      <c r="G11" s="31">
        <f t="shared" ref="G11:G26" si="2">F11*100/C11</f>
        <v>0</v>
      </c>
      <c r="H11" s="32">
        <v>33</v>
      </c>
      <c r="I11" s="33">
        <f t="shared" ref="I11:I26" si="3">H11*100/C11</f>
        <v>6.1567164179104479</v>
      </c>
      <c r="J11" s="29">
        <v>559</v>
      </c>
      <c r="K11" s="30">
        <f t="shared" ref="K11:K26" si="4">J11-M11-O11</f>
        <v>534</v>
      </c>
      <c r="L11" s="31">
        <f t="shared" ref="L11:L26" si="5">K11*100/J11</f>
        <v>95.527728085867622</v>
      </c>
      <c r="M11" s="30">
        <v>0</v>
      </c>
      <c r="N11" s="31">
        <f t="shared" ref="N11:N26" si="6">M11*100/J11</f>
        <v>0</v>
      </c>
      <c r="O11" s="32">
        <v>25</v>
      </c>
      <c r="P11" s="33">
        <f t="shared" ref="P11:P26" si="7">O11*100/J11</f>
        <v>4.4722719141323797</v>
      </c>
      <c r="Q11" s="29">
        <v>560</v>
      </c>
      <c r="R11" s="30">
        <f t="shared" ref="R11:R26" si="8">Q11-T11-V11</f>
        <v>535</v>
      </c>
      <c r="S11" s="31">
        <f t="shared" ref="S11:S26" si="9">R11*100/Q11</f>
        <v>95.535714285714292</v>
      </c>
      <c r="T11" s="30">
        <v>0</v>
      </c>
      <c r="U11" s="31">
        <f t="shared" ref="U11:U26" si="10">T11*100/Q11</f>
        <v>0</v>
      </c>
      <c r="V11" s="32">
        <v>25</v>
      </c>
      <c r="W11" s="33">
        <f t="shared" ref="W11:W26" si="11">V11*100/Q11</f>
        <v>4.4642857142857144</v>
      </c>
      <c r="X11" s="29">
        <v>619</v>
      </c>
      <c r="Y11" s="30">
        <f t="shared" ref="Y11:Y26" si="12">X11-AA11-AC11</f>
        <v>586</v>
      </c>
      <c r="Z11" s="31">
        <f t="shared" ref="Z11:Z26" si="13">Y11*100/X11</f>
        <v>94.668820678513725</v>
      </c>
      <c r="AA11" s="30">
        <v>0</v>
      </c>
      <c r="AB11" s="31">
        <f t="shared" ref="AB11:AB26" si="14">AA11*100/X11</f>
        <v>0</v>
      </c>
      <c r="AC11" s="32">
        <v>33</v>
      </c>
      <c r="AD11" s="33">
        <f t="shared" ref="AD11:AD26" si="15">AC11*100/X11</f>
        <v>5.3311793214862684</v>
      </c>
      <c r="AE11" s="29">
        <v>665</v>
      </c>
      <c r="AF11" s="30">
        <f t="shared" ref="AF11:AF26" si="16">AE11-AH11-AJ11</f>
        <v>633</v>
      </c>
      <c r="AG11" s="31">
        <f t="shared" ref="AG11:AG26" si="17">AF11*100/AE11</f>
        <v>95.187969924812023</v>
      </c>
      <c r="AH11" s="30">
        <v>0</v>
      </c>
      <c r="AI11" s="31">
        <f t="shared" ref="AI11:AI26" si="18">AH11*100/AE11</f>
        <v>0</v>
      </c>
      <c r="AJ11" s="32">
        <v>32</v>
      </c>
      <c r="AK11" s="33">
        <f t="shared" ref="AK11:AK26" si="19">AJ11*100/AE11</f>
        <v>4.8120300751879697</v>
      </c>
      <c r="AL11" s="29">
        <v>703</v>
      </c>
      <c r="AM11" s="30">
        <f t="shared" ref="AM11:AM26" si="20">AL11-AO11-AQ11</f>
        <v>669</v>
      </c>
      <c r="AN11" s="31">
        <f t="shared" ref="AN11:AN26" si="21">AM11*100/AL11</f>
        <v>95.163584637268855</v>
      </c>
      <c r="AO11" s="30">
        <v>0</v>
      </c>
      <c r="AP11" s="31">
        <f t="shared" ref="AP11:AP26" si="22">AO11*100/AL11</f>
        <v>0</v>
      </c>
      <c r="AQ11" s="32">
        <v>34</v>
      </c>
      <c r="AR11" s="33">
        <f t="shared" ref="AR11:AR26" si="23">AQ11*100/AL11</f>
        <v>4.8364153627311524</v>
      </c>
      <c r="AS11" s="29">
        <v>740</v>
      </c>
      <c r="AT11" s="30">
        <f t="shared" ref="AT11:AT26" si="24">AS11-AV11-AX11</f>
        <v>709</v>
      </c>
      <c r="AU11" s="31">
        <f t="shared" ref="AU11:AU26" si="25">AT11*100/AS11</f>
        <v>95.810810810810807</v>
      </c>
      <c r="AV11" s="30">
        <v>0</v>
      </c>
      <c r="AW11" s="31">
        <f t="shared" ref="AW11:AW26" si="26">AV11*100/AS11</f>
        <v>0</v>
      </c>
      <c r="AX11" s="32">
        <v>31</v>
      </c>
      <c r="AY11" s="33">
        <f t="shared" ref="AY11:AY26" si="27">AX11*100/AS11</f>
        <v>4.1891891891891895</v>
      </c>
      <c r="AZ11" s="29">
        <v>796</v>
      </c>
      <c r="BA11" s="30">
        <f t="shared" ref="BA11:BA26" si="28">AZ11-BC11-BE11</f>
        <v>766</v>
      </c>
      <c r="BB11" s="31">
        <f t="shared" ref="BB11:BB26" si="29">BA11*100/AZ11</f>
        <v>96.231155778894475</v>
      </c>
      <c r="BC11" s="30">
        <v>8</v>
      </c>
      <c r="BD11" s="31">
        <f t="shared" ref="BD11:BD26" si="30">BC11*100/AZ11</f>
        <v>1.0050251256281406</v>
      </c>
      <c r="BE11" s="32">
        <v>22</v>
      </c>
      <c r="BF11" s="34">
        <f t="shared" ref="BF11:BF26" si="31">BE11*100/AZ11</f>
        <v>2.7638190954773871</v>
      </c>
      <c r="BG11" s="29">
        <v>831</v>
      </c>
      <c r="BH11" s="30">
        <f t="shared" ref="BH11:BH26" si="32">BG11-BJ11-BL11</f>
        <v>796</v>
      </c>
      <c r="BI11" s="31">
        <f t="shared" ref="BI11:BI26" si="33">BH11*100/BG11</f>
        <v>95.788206979542721</v>
      </c>
      <c r="BJ11" s="30">
        <v>8</v>
      </c>
      <c r="BK11" s="31">
        <f t="shared" ref="BK11:BK26" si="34">BJ11*100/BG11</f>
        <v>0.96269554753309261</v>
      </c>
      <c r="BL11" s="32">
        <v>27</v>
      </c>
      <c r="BM11" s="34">
        <f t="shared" ref="BM11:BM26" si="35">BL11*100/BG11</f>
        <v>3.2490974729241877</v>
      </c>
      <c r="BN11" s="29">
        <v>931</v>
      </c>
      <c r="BO11" s="30">
        <f t="shared" ref="BO11:BO26" si="36">BN11-BQ11-BS11</f>
        <v>890</v>
      </c>
      <c r="BP11" s="31">
        <f t="shared" ref="BP11:BP26" si="37">BO11*100/BN11</f>
        <v>95.596133190118152</v>
      </c>
      <c r="BQ11" s="30">
        <v>8</v>
      </c>
      <c r="BR11" s="31">
        <f t="shared" ref="BR11:BR26" si="38">BQ11*100/BN11</f>
        <v>0.85929108485499461</v>
      </c>
      <c r="BS11" s="32">
        <v>33</v>
      </c>
      <c r="BT11" s="34">
        <f t="shared" ref="BT11:BT21" si="39">BS11*100/BN11</f>
        <v>3.5445757250268528</v>
      </c>
      <c r="BU11" s="29">
        <v>1010</v>
      </c>
      <c r="BV11" s="30">
        <f t="shared" ref="BV11:BV26" si="40">BU11-BX11-BZ11</f>
        <v>973</v>
      </c>
      <c r="BW11" s="31">
        <f t="shared" ref="BW11:BW26" si="41">BV11*100/BU11</f>
        <v>96.336633663366342</v>
      </c>
      <c r="BX11" s="30">
        <v>8</v>
      </c>
      <c r="BY11" s="31">
        <f t="shared" ref="BY11:BY26" si="42">BX11*100/BU11</f>
        <v>0.79207920792079212</v>
      </c>
      <c r="BZ11" s="32">
        <v>29</v>
      </c>
      <c r="CA11" s="34">
        <f t="shared" ref="CA11:CA21" si="43">BZ11*100/BU11</f>
        <v>2.8712871287128712</v>
      </c>
      <c r="CB11" s="29">
        <v>1064</v>
      </c>
      <c r="CC11" s="30">
        <f t="shared" ref="CC11:CC26" si="44">CB11-CE11-CG11</f>
        <v>1025</v>
      </c>
      <c r="CD11" s="31">
        <f t="shared" ref="CD11:CD26" si="45">CC11*100/CB11</f>
        <v>96.334586466165419</v>
      </c>
      <c r="CE11" s="30">
        <v>8</v>
      </c>
      <c r="CF11" s="31">
        <f t="shared" ref="CF11:CF26" si="46">CE11*100/CB11</f>
        <v>0.75187969924812026</v>
      </c>
      <c r="CG11" s="32">
        <v>31</v>
      </c>
      <c r="CH11" s="34">
        <f t="shared" ref="CH11:CH21" si="47">CG11*100/CB11</f>
        <v>2.9135338345864663</v>
      </c>
      <c r="CI11" s="29">
        <v>1109</v>
      </c>
      <c r="CJ11" s="30">
        <f t="shared" ref="CJ11:CJ26" si="48">CI11-CL11-CN11</f>
        <v>1076</v>
      </c>
      <c r="CK11" s="31">
        <f t="shared" ref="CK11:CK26" si="49">CJ11*100/CI11</f>
        <v>97.024346257889988</v>
      </c>
      <c r="CL11" s="30">
        <v>6</v>
      </c>
      <c r="CM11" s="31">
        <f t="shared" ref="CM11:CM26" si="50">CL11*100/CI11</f>
        <v>0.54102795311091068</v>
      </c>
      <c r="CN11" s="32">
        <v>27</v>
      </c>
      <c r="CO11" s="34">
        <f t="shared" ref="CO11:CO21" si="51">CN11*100/CI11</f>
        <v>2.4346257889990981</v>
      </c>
      <c r="CP11" s="29">
        <v>1140</v>
      </c>
      <c r="CQ11" s="30">
        <f t="shared" ref="CQ11:CQ26" si="52">CP11-CS11-CU11</f>
        <v>1107</v>
      </c>
      <c r="CR11" s="31">
        <f t="shared" ref="CR11:CR26" si="53">CQ11*100/CP11</f>
        <v>97.10526315789474</v>
      </c>
      <c r="CS11" s="30">
        <v>5</v>
      </c>
      <c r="CT11" s="31">
        <f t="shared" ref="CT11:CT26" si="54">CS11*100/CP11</f>
        <v>0.43859649122807015</v>
      </c>
      <c r="CU11" s="32">
        <v>28</v>
      </c>
      <c r="CV11" s="34">
        <f t="shared" ref="CV11:CV21" si="55">CU11*100/CP11</f>
        <v>2.4561403508771931</v>
      </c>
      <c r="CW11" s="29">
        <v>1167</v>
      </c>
      <c r="CX11" s="30">
        <f t="shared" ref="CX11:CX26" si="56">CW11-CZ11-DB11</f>
        <v>1129</v>
      </c>
      <c r="CY11" s="31">
        <f t="shared" ref="CY11:CY26" si="57">CX11*100/CW11</f>
        <v>96.743787489288778</v>
      </c>
      <c r="CZ11" s="30">
        <v>8</v>
      </c>
      <c r="DA11" s="31">
        <f t="shared" ref="DA11:DA26" si="58">CZ11*100/CW11</f>
        <v>0.68551842330762636</v>
      </c>
      <c r="DB11" s="32">
        <v>30</v>
      </c>
      <c r="DC11" s="34">
        <f t="shared" ref="DC11:DC21" si="59">DB11*100/CW11</f>
        <v>2.5706940874035991</v>
      </c>
      <c r="DD11" s="29">
        <v>1066</v>
      </c>
      <c r="DE11" s="30">
        <f t="shared" ref="DE11:DE26" si="60">DD11-DG11-DI11</f>
        <v>1034</v>
      </c>
      <c r="DF11" s="31">
        <f t="shared" ref="DF11:DF26" si="61">DE11*100/DD11</f>
        <v>96.998123827392121</v>
      </c>
      <c r="DG11" s="30">
        <v>6</v>
      </c>
      <c r="DH11" s="31">
        <f t="shared" ref="DH11:DH26" si="62">DG11*100/DD11</f>
        <v>0.56285178236397748</v>
      </c>
      <c r="DI11" s="32">
        <v>26</v>
      </c>
      <c r="DJ11" s="34">
        <f t="shared" ref="DJ11:DJ21" si="63">DI11*100/DD11</f>
        <v>2.4390243902439024</v>
      </c>
    </row>
    <row r="12" spans="1:114" ht="26.4" customHeight="1" x14ac:dyDescent="0.25">
      <c r="A12" s="27">
        <f t="shared" ref="A12:A20" si="64">A11+1</f>
        <v>3</v>
      </c>
      <c r="B12" s="28" t="s">
        <v>13</v>
      </c>
      <c r="C12" s="29">
        <v>618</v>
      </c>
      <c r="D12" s="30">
        <f t="shared" si="0"/>
        <v>584</v>
      </c>
      <c r="E12" s="31">
        <f t="shared" si="1"/>
        <v>94.498381877022652</v>
      </c>
      <c r="F12" s="30">
        <v>12</v>
      </c>
      <c r="G12" s="31">
        <f t="shared" si="2"/>
        <v>1.941747572815534</v>
      </c>
      <c r="H12" s="32">
        <v>22</v>
      </c>
      <c r="I12" s="33">
        <f t="shared" si="3"/>
        <v>3.5598705501618122</v>
      </c>
      <c r="J12" s="29">
        <v>637</v>
      </c>
      <c r="K12" s="30">
        <f t="shared" si="4"/>
        <v>603</v>
      </c>
      <c r="L12" s="31">
        <f t="shared" si="5"/>
        <v>94.662480376766098</v>
      </c>
      <c r="M12" s="30">
        <v>17</v>
      </c>
      <c r="N12" s="31">
        <f t="shared" si="6"/>
        <v>2.6687598116169546</v>
      </c>
      <c r="O12" s="32">
        <v>17</v>
      </c>
      <c r="P12" s="33">
        <f t="shared" si="7"/>
        <v>2.6687598116169546</v>
      </c>
      <c r="Q12" s="29">
        <v>693</v>
      </c>
      <c r="R12" s="30">
        <f t="shared" si="8"/>
        <v>616</v>
      </c>
      <c r="S12" s="31">
        <f t="shared" si="9"/>
        <v>88.888888888888886</v>
      </c>
      <c r="T12" s="30">
        <v>52</v>
      </c>
      <c r="U12" s="31">
        <f t="shared" si="10"/>
        <v>7.5036075036075038</v>
      </c>
      <c r="V12" s="32">
        <v>25</v>
      </c>
      <c r="W12" s="33">
        <f t="shared" si="11"/>
        <v>3.6075036075036073</v>
      </c>
      <c r="X12" s="29">
        <v>823</v>
      </c>
      <c r="Y12" s="30">
        <f t="shared" si="12"/>
        <v>741</v>
      </c>
      <c r="Z12" s="31">
        <f t="shared" si="13"/>
        <v>90.036452004860266</v>
      </c>
      <c r="AA12" s="30">
        <v>45</v>
      </c>
      <c r="AB12" s="31">
        <f t="shared" si="14"/>
        <v>5.4678007290400972</v>
      </c>
      <c r="AC12" s="32">
        <v>37</v>
      </c>
      <c r="AD12" s="33">
        <f t="shared" si="15"/>
        <v>4.4957472660996354</v>
      </c>
      <c r="AE12" s="29">
        <v>825</v>
      </c>
      <c r="AF12" s="30">
        <f t="shared" si="16"/>
        <v>757</v>
      </c>
      <c r="AG12" s="31">
        <f t="shared" si="17"/>
        <v>91.757575757575751</v>
      </c>
      <c r="AH12" s="30">
        <v>41</v>
      </c>
      <c r="AI12" s="31">
        <f t="shared" si="18"/>
        <v>4.9696969696969697</v>
      </c>
      <c r="AJ12" s="32">
        <v>27</v>
      </c>
      <c r="AK12" s="33">
        <f t="shared" si="19"/>
        <v>3.2727272727272729</v>
      </c>
      <c r="AL12" s="29">
        <v>814</v>
      </c>
      <c r="AM12" s="30">
        <f t="shared" si="20"/>
        <v>739</v>
      </c>
      <c r="AN12" s="31">
        <f t="shared" si="21"/>
        <v>90.786240786240782</v>
      </c>
      <c r="AO12" s="30">
        <v>39</v>
      </c>
      <c r="AP12" s="31">
        <f t="shared" si="22"/>
        <v>4.7911547911547911</v>
      </c>
      <c r="AQ12" s="32">
        <v>36</v>
      </c>
      <c r="AR12" s="33">
        <f t="shared" si="23"/>
        <v>4.4226044226044223</v>
      </c>
      <c r="AS12" s="29">
        <v>807</v>
      </c>
      <c r="AT12" s="30">
        <f t="shared" si="24"/>
        <v>734</v>
      </c>
      <c r="AU12" s="31">
        <f t="shared" si="25"/>
        <v>90.954151177199506</v>
      </c>
      <c r="AV12" s="30">
        <v>29</v>
      </c>
      <c r="AW12" s="31">
        <f t="shared" si="26"/>
        <v>3.5935563816604708</v>
      </c>
      <c r="AX12" s="32">
        <v>44</v>
      </c>
      <c r="AY12" s="33">
        <f t="shared" si="27"/>
        <v>5.4522924411400249</v>
      </c>
      <c r="AZ12" s="29">
        <v>825</v>
      </c>
      <c r="BA12" s="30">
        <f t="shared" si="28"/>
        <v>747</v>
      </c>
      <c r="BB12" s="31">
        <f t="shared" si="29"/>
        <v>90.545454545454547</v>
      </c>
      <c r="BC12" s="30">
        <v>33</v>
      </c>
      <c r="BD12" s="31">
        <f t="shared" si="30"/>
        <v>4</v>
      </c>
      <c r="BE12" s="32">
        <v>45</v>
      </c>
      <c r="BF12" s="34">
        <f t="shared" si="31"/>
        <v>5.4545454545454541</v>
      </c>
      <c r="BG12" s="29">
        <v>805</v>
      </c>
      <c r="BH12" s="30">
        <f t="shared" si="32"/>
        <v>740</v>
      </c>
      <c r="BI12" s="31">
        <f t="shared" si="33"/>
        <v>91.925465838509311</v>
      </c>
      <c r="BJ12" s="30">
        <v>24</v>
      </c>
      <c r="BK12" s="31">
        <f t="shared" si="34"/>
        <v>2.981366459627329</v>
      </c>
      <c r="BL12" s="32">
        <v>41</v>
      </c>
      <c r="BM12" s="34">
        <f t="shared" si="35"/>
        <v>5.0931677018633543</v>
      </c>
      <c r="BN12" s="29">
        <v>804</v>
      </c>
      <c r="BO12" s="30">
        <f t="shared" si="36"/>
        <v>730</v>
      </c>
      <c r="BP12" s="31">
        <f t="shared" si="37"/>
        <v>90.796019900497512</v>
      </c>
      <c r="BQ12" s="30">
        <v>29</v>
      </c>
      <c r="BR12" s="31">
        <f t="shared" si="38"/>
        <v>3.6069651741293534</v>
      </c>
      <c r="BS12" s="32">
        <v>45</v>
      </c>
      <c r="BT12" s="34">
        <f t="shared" si="39"/>
        <v>5.5970149253731343</v>
      </c>
      <c r="BU12" s="29">
        <v>805</v>
      </c>
      <c r="BV12" s="30">
        <f t="shared" si="40"/>
        <v>725</v>
      </c>
      <c r="BW12" s="31">
        <f t="shared" si="41"/>
        <v>90.062111801242239</v>
      </c>
      <c r="BX12" s="30">
        <v>30</v>
      </c>
      <c r="BY12" s="31">
        <f t="shared" si="42"/>
        <v>3.7267080745341614</v>
      </c>
      <c r="BZ12" s="32">
        <v>50</v>
      </c>
      <c r="CA12" s="34">
        <f t="shared" si="43"/>
        <v>6.2111801242236027</v>
      </c>
      <c r="CB12" s="29">
        <v>773</v>
      </c>
      <c r="CC12" s="30">
        <f t="shared" si="44"/>
        <v>701</v>
      </c>
      <c r="CD12" s="31">
        <f t="shared" si="45"/>
        <v>90.685640362225101</v>
      </c>
      <c r="CE12" s="30">
        <v>27</v>
      </c>
      <c r="CF12" s="31">
        <f t="shared" si="46"/>
        <v>3.4928848641655885</v>
      </c>
      <c r="CG12" s="32">
        <v>45</v>
      </c>
      <c r="CH12" s="34">
        <f t="shared" si="47"/>
        <v>5.8214747736093146</v>
      </c>
      <c r="CI12" s="29">
        <v>729</v>
      </c>
      <c r="CJ12" s="30">
        <f t="shared" si="48"/>
        <v>649</v>
      </c>
      <c r="CK12" s="31">
        <f t="shared" si="49"/>
        <v>89.026063100137179</v>
      </c>
      <c r="CL12" s="30">
        <v>28</v>
      </c>
      <c r="CM12" s="31">
        <f t="shared" si="50"/>
        <v>3.8408779149519892</v>
      </c>
      <c r="CN12" s="32">
        <v>52</v>
      </c>
      <c r="CO12" s="34">
        <f t="shared" si="51"/>
        <v>7.1330589849108366</v>
      </c>
      <c r="CP12" s="29">
        <v>715</v>
      </c>
      <c r="CQ12" s="30">
        <f t="shared" si="52"/>
        <v>649</v>
      </c>
      <c r="CR12" s="31">
        <f t="shared" si="53"/>
        <v>90.769230769230774</v>
      </c>
      <c r="CS12" s="30">
        <v>20</v>
      </c>
      <c r="CT12" s="31">
        <f t="shared" si="54"/>
        <v>2.7972027972027971</v>
      </c>
      <c r="CU12" s="32">
        <v>46</v>
      </c>
      <c r="CV12" s="34">
        <f t="shared" si="55"/>
        <v>6.4335664335664333</v>
      </c>
      <c r="CW12" s="29">
        <v>701</v>
      </c>
      <c r="CX12" s="30">
        <f t="shared" si="56"/>
        <v>637</v>
      </c>
      <c r="CY12" s="31">
        <f t="shared" si="57"/>
        <v>90.870185449358061</v>
      </c>
      <c r="CZ12" s="30">
        <v>17</v>
      </c>
      <c r="DA12" s="31">
        <f t="shared" si="58"/>
        <v>2.4251069900142652</v>
      </c>
      <c r="DB12" s="32">
        <v>47</v>
      </c>
      <c r="DC12" s="34">
        <f t="shared" si="59"/>
        <v>6.7047075606276749</v>
      </c>
      <c r="DD12" s="29">
        <v>667</v>
      </c>
      <c r="DE12" s="30">
        <f t="shared" si="60"/>
        <v>603</v>
      </c>
      <c r="DF12" s="31">
        <f t="shared" si="61"/>
        <v>90.404797601199405</v>
      </c>
      <c r="DG12" s="30">
        <v>16</v>
      </c>
      <c r="DH12" s="31">
        <f t="shared" si="62"/>
        <v>2.39880059970015</v>
      </c>
      <c r="DI12" s="32">
        <v>48</v>
      </c>
      <c r="DJ12" s="34">
        <f t="shared" si="63"/>
        <v>7.1964017991004496</v>
      </c>
    </row>
    <row r="13" spans="1:114" ht="26.4" customHeight="1" x14ac:dyDescent="0.25">
      <c r="A13" s="27">
        <f t="shared" si="64"/>
        <v>4</v>
      </c>
      <c r="B13" s="35" t="s">
        <v>14</v>
      </c>
      <c r="C13" s="29">
        <v>529</v>
      </c>
      <c r="D13" s="30">
        <f t="shared" si="0"/>
        <v>520</v>
      </c>
      <c r="E13" s="31">
        <f t="shared" si="1"/>
        <v>98.298676748582224</v>
      </c>
      <c r="F13" s="30">
        <v>0</v>
      </c>
      <c r="G13" s="31">
        <f t="shared" si="2"/>
        <v>0</v>
      </c>
      <c r="H13" s="32">
        <v>9</v>
      </c>
      <c r="I13" s="33">
        <f t="shared" si="3"/>
        <v>1.7013232514177694</v>
      </c>
      <c r="J13" s="29">
        <v>518</v>
      </c>
      <c r="K13" s="30">
        <f t="shared" si="4"/>
        <v>508</v>
      </c>
      <c r="L13" s="31">
        <f t="shared" si="5"/>
        <v>98.069498069498067</v>
      </c>
      <c r="M13" s="30">
        <v>1</v>
      </c>
      <c r="N13" s="31">
        <f t="shared" si="6"/>
        <v>0.19305019305019305</v>
      </c>
      <c r="O13" s="32">
        <v>9</v>
      </c>
      <c r="P13" s="33">
        <f t="shared" si="7"/>
        <v>1.7374517374517375</v>
      </c>
      <c r="Q13" s="29">
        <v>526</v>
      </c>
      <c r="R13" s="30">
        <f t="shared" si="8"/>
        <v>515</v>
      </c>
      <c r="S13" s="31">
        <f t="shared" si="9"/>
        <v>97.908745247148289</v>
      </c>
      <c r="T13" s="30">
        <v>0</v>
      </c>
      <c r="U13" s="31">
        <f t="shared" si="10"/>
        <v>0</v>
      </c>
      <c r="V13" s="32">
        <v>11</v>
      </c>
      <c r="W13" s="33">
        <f t="shared" si="11"/>
        <v>2.0912547528517109</v>
      </c>
      <c r="X13" s="29">
        <v>551</v>
      </c>
      <c r="Y13" s="30">
        <f t="shared" si="12"/>
        <v>517</v>
      </c>
      <c r="Z13" s="31">
        <f t="shared" si="13"/>
        <v>93.829401088929217</v>
      </c>
      <c r="AA13" s="30">
        <v>0</v>
      </c>
      <c r="AB13" s="31">
        <f t="shared" si="14"/>
        <v>0</v>
      </c>
      <c r="AC13" s="32">
        <v>34</v>
      </c>
      <c r="AD13" s="33">
        <f t="shared" si="15"/>
        <v>6.1705989110707806</v>
      </c>
      <c r="AE13" s="29">
        <v>565</v>
      </c>
      <c r="AF13" s="30">
        <f t="shared" si="16"/>
        <v>524</v>
      </c>
      <c r="AG13" s="31">
        <f t="shared" si="17"/>
        <v>92.743362831858406</v>
      </c>
      <c r="AH13" s="30">
        <v>0</v>
      </c>
      <c r="AI13" s="31">
        <f t="shared" si="18"/>
        <v>0</v>
      </c>
      <c r="AJ13" s="32">
        <v>41</v>
      </c>
      <c r="AK13" s="33">
        <f t="shared" si="19"/>
        <v>7.2566371681415927</v>
      </c>
      <c r="AL13" s="29">
        <v>617</v>
      </c>
      <c r="AM13" s="30">
        <f t="shared" si="20"/>
        <v>572</v>
      </c>
      <c r="AN13" s="31">
        <f t="shared" si="21"/>
        <v>92.706645056726089</v>
      </c>
      <c r="AO13" s="30">
        <v>0</v>
      </c>
      <c r="AP13" s="31">
        <f t="shared" si="22"/>
        <v>0</v>
      </c>
      <c r="AQ13" s="32">
        <v>45</v>
      </c>
      <c r="AR13" s="33">
        <f t="shared" si="23"/>
        <v>7.293354943273906</v>
      </c>
      <c r="AS13" s="29">
        <v>621</v>
      </c>
      <c r="AT13" s="30">
        <f t="shared" si="24"/>
        <v>566</v>
      </c>
      <c r="AU13" s="31">
        <f t="shared" si="25"/>
        <v>91.143317230273752</v>
      </c>
      <c r="AV13" s="30">
        <v>0</v>
      </c>
      <c r="AW13" s="31">
        <f t="shared" si="26"/>
        <v>0</v>
      </c>
      <c r="AX13" s="32">
        <v>55</v>
      </c>
      <c r="AY13" s="33">
        <f t="shared" si="27"/>
        <v>8.8566827697262482</v>
      </c>
      <c r="AZ13" s="29">
        <v>732</v>
      </c>
      <c r="BA13" s="30">
        <f t="shared" si="28"/>
        <v>652</v>
      </c>
      <c r="BB13" s="31">
        <f t="shared" si="29"/>
        <v>89.071038251366119</v>
      </c>
      <c r="BC13" s="30">
        <v>0</v>
      </c>
      <c r="BD13" s="31">
        <f t="shared" si="30"/>
        <v>0</v>
      </c>
      <c r="BE13" s="32">
        <v>80</v>
      </c>
      <c r="BF13" s="34">
        <f t="shared" si="31"/>
        <v>10.928961748633879</v>
      </c>
      <c r="BG13" s="29">
        <v>790</v>
      </c>
      <c r="BH13" s="30">
        <f t="shared" si="32"/>
        <v>716</v>
      </c>
      <c r="BI13" s="31">
        <f t="shared" si="33"/>
        <v>90.632911392405063</v>
      </c>
      <c r="BJ13" s="30">
        <v>2</v>
      </c>
      <c r="BK13" s="31">
        <f t="shared" si="34"/>
        <v>0.25316455696202533</v>
      </c>
      <c r="BL13" s="32">
        <v>72</v>
      </c>
      <c r="BM13" s="34">
        <f t="shared" si="35"/>
        <v>9.113924050632912</v>
      </c>
      <c r="BN13" s="29">
        <v>821</v>
      </c>
      <c r="BO13" s="30">
        <f t="shared" si="36"/>
        <v>750</v>
      </c>
      <c r="BP13" s="31">
        <f t="shared" si="37"/>
        <v>91.352009744214371</v>
      </c>
      <c r="BQ13" s="30">
        <v>1</v>
      </c>
      <c r="BR13" s="31">
        <f t="shared" si="38"/>
        <v>0.1218026796589525</v>
      </c>
      <c r="BS13" s="32">
        <v>70</v>
      </c>
      <c r="BT13" s="34">
        <f t="shared" si="39"/>
        <v>8.5261875761266754</v>
      </c>
      <c r="BU13" s="29">
        <v>878</v>
      </c>
      <c r="BV13" s="30">
        <f t="shared" si="40"/>
        <v>801</v>
      </c>
      <c r="BW13" s="31">
        <f t="shared" si="41"/>
        <v>91.230068337129836</v>
      </c>
      <c r="BX13" s="30">
        <v>1</v>
      </c>
      <c r="BY13" s="31">
        <f t="shared" si="42"/>
        <v>0.11389521640091116</v>
      </c>
      <c r="BZ13" s="32">
        <v>76</v>
      </c>
      <c r="CA13" s="34">
        <f t="shared" si="43"/>
        <v>8.6560364464692476</v>
      </c>
      <c r="CB13" s="29">
        <v>925</v>
      </c>
      <c r="CC13" s="30">
        <f t="shared" si="44"/>
        <v>860</v>
      </c>
      <c r="CD13" s="31">
        <f t="shared" si="45"/>
        <v>92.972972972972968</v>
      </c>
      <c r="CE13" s="30">
        <v>0</v>
      </c>
      <c r="CF13" s="31">
        <f t="shared" si="46"/>
        <v>0</v>
      </c>
      <c r="CG13" s="32">
        <v>65</v>
      </c>
      <c r="CH13" s="34">
        <f t="shared" si="47"/>
        <v>7.0270270270270272</v>
      </c>
      <c r="CI13" s="29">
        <v>1017</v>
      </c>
      <c r="CJ13" s="30">
        <f t="shared" si="48"/>
        <v>949</v>
      </c>
      <c r="CK13" s="31">
        <f t="shared" si="49"/>
        <v>93.31366764995083</v>
      </c>
      <c r="CL13" s="30">
        <v>0</v>
      </c>
      <c r="CM13" s="31">
        <f t="shared" si="50"/>
        <v>0</v>
      </c>
      <c r="CN13" s="32">
        <v>68</v>
      </c>
      <c r="CO13" s="34">
        <f t="shared" si="51"/>
        <v>6.686332350049164</v>
      </c>
      <c r="CP13" s="29">
        <v>1053</v>
      </c>
      <c r="CQ13" s="30">
        <f t="shared" si="52"/>
        <v>984</v>
      </c>
      <c r="CR13" s="31">
        <f t="shared" si="53"/>
        <v>93.447293447293447</v>
      </c>
      <c r="CS13" s="30">
        <v>0</v>
      </c>
      <c r="CT13" s="31">
        <f t="shared" si="54"/>
        <v>0</v>
      </c>
      <c r="CU13" s="32">
        <v>69</v>
      </c>
      <c r="CV13" s="34">
        <f t="shared" si="55"/>
        <v>6.5527065527065531</v>
      </c>
      <c r="CW13" s="29">
        <v>1058</v>
      </c>
      <c r="CX13" s="30">
        <f t="shared" si="56"/>
        <v>994</v>
      </c>
      <c r="CY13" s="31">
        <f t="shared" si="57"/>
        <v>93.950850661625708</v>
      </c>
      <c r="CZ13" s="30">
        <v>0</v>
      </c>
      <c r="DA13" s="31">
        <f t="shared" si="58"/>
        <v>0</v>
      </c>
      <c r="DB13" s="32">
        <v>64</v>
      </c>
      <c r="DC13" s="34">
        <f t="shared" si="59"/>
        <v>6.0491493383742911</v>
      </c>
      <c r="DD13" s="29">
        <v>979</v>
      </c>
      <c r="DE13" s="30">
        <f t="shared" si="60"/>
        <v>915</v>
      </c>
      <c r="DF13" s="31">
        <f t="shared" si="61"/>
        <v>93.46271705822268</v>
      </c>
      <c r="DG13" s="30">
        <v>1</v>
      </c>
      <c r="DH13" s="31">
        <f t="shared" si="62"/>
        <v>0.10214504596527069</v>
      </c>
      <c r="DI13" s="32">
        <v>63</v>
      </c>
      <c r="DJ13" s="34">
        <f t="shared" si="63"/>
        <v>6.4351378958120531</v>
      </c>
    </row>
    <row r="14" spans="1:114" ht="26.4" customHeight="1" x14ac:dyDescent="0.25">
      <c r="A14" s="27">
        <f t="shared" si="64"/>
        <v>5</v>
      </c>
      <c r="B14" s="35" t="s">
        <v>15</v>
      </c>
      <c r="C14" s="29">
        <v>882</v>
      </c>
      <c r="D14" s="30">
        <f t="shared" si="0"/>
        <v>863</v>
      </c>
      <c r="E14" s="31">
        <f t="shared" si="1"/>
        <v>97.845804988662138</v>
      </c>
      <c r="F14" s="30">
        <v>9</v>
      </c>
      <c r="G14" s="31">
        <f t="shared" si="2"/>
        <v>1.0204081632653061</v>
      </c>
      <c r="H14" s="32">
        <v>10</v>
      </c>
      <c r="I14" s="33">
        <f t="shared" si="3"/>
        <v>1.1337868480725624</v>
      </c>
      <c r="J14" s="29">
        <v>884</v>
      </c>
      <c r="K14" s="30">
        <f t="shared" si="4"/>
        <v>863</v>
      </c>
      <c r="L14" s="31">
        <f t="shared" si="5"/>
        <v>97.624434389140276</v>
      </c>
      <c r="M14" s="30">
        <v>8</v>
      </c>
      <c r="N14" s="31">
        <f t="shared" si="6"/>
        <v>0.90497737556561086</v>
      </c>
      <c r="O14" s="32">
        <v>13</v>
      </c>
      <c r="P14" s="33">
        <f t="shared" si="7"/>
        <v>1.4705882352941178</v>
      </c>
      <c r="Q14" s="29">
        <v>905</v>
      </c>
      <c r="R14" s="30">
        <f t="shared" si="8"/>
        <v>885</v>
      </c>
      <c r="S14" s="31">
        <f t="shared" si="9"/>
        <v>97.790055248618785</v>
      </c>
      <c r="T14" s="30">
        <v>5</v>
      </c>
      <c r="U14" s="31">
        <f t="shared" si="10"/>
        <v>0.5524861878453039</v>
      </c>
      <c r="V14" s="32">
        <v>15</v>
      </c>
      <c r="W14" s="33">
        <f t="shared" si="11"/>
        <v>1.6574585635359116</v>
      </c>
      <c r="X14" s="29">
        <v>840</v>
      </c>
      <c r="Y14" s="30">
        <f t="shared" si="12"/>
        <v>817</v>
      </c>
      <c r="Z14" s="31">
        <f t="shared" si="13"/>
        <v>97.261904761904759</v>
      </c>
      <c r="AA14" s="30">
        <v>13</v>
      </c>
      <c r="AB14" s="31">
        <f t="shared" si="14"/>
        <v>1.5476190476190477</v>
      </c>
      <c r="AC14" s="32">
        <v>10</v>
      </c>
      <c r="AD14" s="33">
        <f t="shared" si="15"/>
        <v>1.1904761904761905</v>
      </c>
      <c r="AE14" s="29">
        <v>861</v>
      </c>
      <c r="AF14" s="30">
        <f t="shared" si="16"/>
        <v>832</v>
      </c>
      <c r="AG14" s="31">
        <f t="shared" si="17"/>
        <v>96.631823461091756</v>
      </c>
      <c r="AH14" s="30">
        <v>12</v>
      </c>
      <c r="AI14" s="31">
        <f t="shared" si="18"/>
        <v>1.3937282229965158</v>
      </c>
      <c r="AJ14" s="32">
        <v>17</v>
      </c>
      <c r="AK14" s="33">
        <f t="shared" si="19"/>
        <v>1.9744483159117305</v>
      </c>
      <c r="AL14" s="29">
        <v>898</v>
      </c>
      <c r="AM14" s="30">
        <f t="shared" si="20"/>
        <v>869</v>
      </c>
      <c r="AN14" s="31">
        <f t="shared" si="21"/>
        <v>96.770601336302889</v>
      </c>
      <c r="AO14" s="30">
        <v>11</v>
      </c>
      <c r="AP14" s="31">
        <f t="shared" si="22"/>
        <v>1.2249443207126949</v>
      </c>
      <c r="AQ14" s="32">
        <v>18</v>
      </c>
      <c r="AR14" s="33">
        <f t="shared" si="23"/>
        <v>2.0044543429844097</v>
      </c>
      <c r="AS14" s="29">
        <v>942</v>
      </c>
      <c r="AT14" s="30">
        <f t="shared" si="24"/>
        <v>916</v>
      </c>
      <c r="AU14" s="31">
        <f t="shared" si="25"/>
        <v>97.239915074309977</v>
      </c>
      <c r="AV14" s="30">
        <v>8</v>
      </c>
      <c r="AW14" s="31">
        <f t="shared" si="26"/>
        <v>0.84925690021231426</v>
      </c>
      <c r="AX14" s="32">
        <v>18</v>
      </c>
      <c r="AY14" s="33">
        <f t="shared" si="27"/>
        <v>1.910828025477707</v>
      </c>
      <c r="AZ14" s="29">
        <v>989</v>
      </c>
      <c r="BA14" s="30">
        <f t="shared" si="28"/>
        <v>965</v>
      </c>
      <c r="BB14" s="31">
        <f t="shared" si="29"/>
        <v>97.573306370070782</v>
      </c>
      <c r="BC14" s="30">
        <v>7</v>
      </c>
      <c r="BD14" s="31">
        <f t="shared" si="30"/>
        <v>0.70778564206268957</v>
      </c>
      <c r="BE14" s="32">
        <v>17</v>
      </c>
      <c r="BF14" s="34">
        <f t="shared" si="31"/>
        <v>1.7189079878665319</v>
      </c>
      <c r="BG14" s="29">
        <v>1013</v>
      </c>
      <c r="BH14" s="30">
        <f t="shared" si="32"/>
        <v>991</v>
      </c>
      <c r="BI14" s="31">
        <f t="shared" si="33"/>
        <v>97.828232971372159</v>
      </c>
      <c r="BJ14" s="30">
        <v>7</v>
      </c>
      <c r="BK14" s="31">
        <f t="shared" si="34"/>
        <v>0.69101678183613036</v>
      </c>
      <c r="BL14" s="32">
        <v>15</v>
      </c>
      <c r="BM14" s="34">
        <f t="shared" si="35"/>
        <v>1.4807502467917077</v>
      </c>
      <c r="BN14" s="29">
        <v>1061</v>
      </c>
      <c r="BO14" s="30">
        <f t="shared" si="36"/>
        <v>1049</v>
      </c>
      <c r="BP14" s="31">
        <f t="shared" si="37"/>
        <v>98.868991517436385</v>
      </c>
      <c r="BQ14" s="30">
        <v>2</v>
      </c>
      <c r="BR14" s="31">
        <f t="shared" si="38"/>
        <v>0.1885014137606032</v>
      </c>
      <c r="BS14" s="32">
        <v>10</v>
      </c>
      <c r="BT14" s="34">
        <f t="shared" si="39"/>
        <v>0.94250706880301605</v>
      </c>
      <c r="BU14" s="29">
        <v>1108</v>
      </c>
      <c r="BV14" s="30">
        <f t="shared" si="40"/>
        <v>1090</v>
      </c>
      <c r="BW14" s="31">
        <f t="shared" si="41"/>
        <v>98.375451263537911</v>
      </c>
      <c r="BX14" s="30">
        <v>6</v>
      </c>
      <c r="BY14" s="31">
        <f t="shared" si="42"/>
        <v>0.54151624548736466</v>
      </c>
      <c r="BZ14" s="32">
        <v>12</v>
      </c>
      <c r="CA14" s="34">
        <f t="shared" si="43"/>
        <v>1.0830324909747293</v>
      </c>
      <c r="CB14" s="29">
        <v>1135</v>
      </c>
      <c r="CC14" s="30">
        <f t="shared" si="44"/>
        <v>1119</v>
      </c>
      <c r="CD14" s="31">
        <f t="shared" si="45"/>
        <v>98.590308370044056</v>
      </c>
      <c r="CE14" s="30">
        <v>3</v>
      </c>
      <c r="CF14" s="31">
        <f t="shared" si="46"/>
        <v>0.26431718061674009</v>
      </c>
      <c r="CG14" s="32">
        <v>13</v>
      </c>
      <c r="CH14" s="34">
        <f t="shared" si="47"/>
        <v>1.1453744493392071</v>
      </c>
      <c r="CI14" s="29">
        <v>1159</v>
      </c>
      <c r="CJ14" s="30">
        <f t="shared" si="48"/>
        <v>1127</v>
      </c>
      <c r="CK14" s="31">
        <f t="shared" si="49"/>
        <v>97.238999137187236</v>
      </c>
      <c r="CL14" s="30">
        <v>19</v>
      </c>
      <c r="CM14" s="31">
        <f t="shared" si="50"/>
        <v>1.639344262295082</v>
      </c>
      <c r="CN14" s="32">
        <v>13</v>
      </c>
      <c r="CO14" s="34">
        <f t="shared" si="51"/>
        <v>1.1216566005176876</v>
      </c>
      <c r="CP14" s="29">
        <v>1141</v>
      </c>
      <c r="CQ14" s="30">
        <f t="shared" si="52"/>
        <v>1126</v>
      </c>
      <c r="CR14" s="31">
        <f t="shared" si="53"/>
        <v>98.685363716038566</v>
      </c>
      <c r="CS14" s="30">
        <v>0</v>
      </c>
      <c r="CT14" s="31">
        <f t="shared" si="54"/>
        <v>0</v>
      </c>
      <c r="CU14" s="32">
        <v>15</v>
      </c>
      <c r="CV14" s="34">
        <f t="shared" si="55"/>
        <v>1.3146362839614374</v>
      </c>
      <c r="CW14" s="29">
        <v>1132</v>
      </c>
      <c r="CX14" s="30">
        <f t="shared" si="56"/>
        <v>1118</v>
      </c>
      <c r="CY14" s="31">
        <f t="shared" si="57"/>
        <v>98.763250883392232</v>
      </c>
      <c r="CZ14" s="30">
        <v>1</v>
      </c>
      <c r="DA14" s="31">
        <f t="shared" si="58"/>
        <v>8.8339222614840993E-2</v>
      </c>
      <c r="DB14" s="32">
        <v>13</v>
      </c>
      <c r="DC14" s="34">
        <f t="shared" si="59"/>
        <v>1.1484098939929328</v>
      </c>
      <c r="DD14" s="29">
        <v>1045</v>
      </c>
      <c r="DE14" s="30">
        <f t="shared" si="60"/>
        <v>1030</v>
      </c>
      <c r="DF14" s="31">
        <f t="shared" si="61"/>
        <v>98.564593301435409</v>
      </c>
      <c r="DG14" s="30">
        <v>3</v>
      </c>
      <c r="DH14" s="31">
        <f t="shared" si="62"/>
        <v>0.28708133971291866</v>
      </c>
      <c r="DI14" s="32">
        <v>12</v>
      </c>
      <c r="DJ14" s="34">
        <f t="shared" si="63"/>
        <v>1.1483253588516746</v>
      </c>
    </row>
    <row r="15" spans="1:114" ht="26.4" customHeight="1" x14ac:dyDescent="0.25">
      <c r="A15" s="27">
        <f t="shared" si="64"/>
        <v>6</v>
      </c>
      <c r="B15" s="28" t="s">
        <v>16</v>
      </c>
      <c r="C15" s="29">
        <v>843</v>
      </c>
      <c r="D15" s="30">
        <f t="shared" si="0"/>
        <v>824</v>
      </c>
      <c r="E15" s="31">
        <f t="shared" si="1"/>
        <v>97.746144721233691</v>
      </c>
      <c r="F15" s="30">
        <v>0</v>
      </c>
      <c r="G15" s="31">
        <f t="shared" si="2"/>
        <v>0</v>
      </c>
      <c r="H15" s="32">
        <v>19</v>
      </c>
      <c r="I15" s="33">
        <f t="shared" si="3"/>
        <v>2.2538552787663106</v>
      </c>
      <c r="J15" s="29">
        <v>850</v>
      </c>
      <c r="K15" s="30">
        <f t="shared" si="4"/>
        <v>824</v>
      </c>
      <c r="L15" s="31">
        <f t="shared" si="5"/>
        <v>96.941176470588232</v>
      </c>
      <c r="M15" s="30">
        <v>0</v>
      </c>
      <c r="N15" s="31">
        <f t="shared" si="6"/>
        <v>0</v>
      </c>
      <c r="O15" s="32">
        <v>26</v>
      </c>
      <c r="P15" s="33">
        <f t="shared" si="7"/>
        <v>3.0588235294117645</v>
      </c>
      <c r="Q15" s="29">
        <v>850</v>
      </c>
      <c r="R15" s="30">
        <f t="shared" si="8"/>
        <v>824</v>
      </c>
      <c r="S15" s="31">
        <f t="shared" si="9"/>
        <v>96.941176470588232</v>
      </c>
      <c r="T15" s="30">
        <v>0</v>
      </c>
      <c r="U15" s="31">
        <f t="shared" si="10"/>
        <v>0</v>
      </c>
      <c r="V15" s="32">
        <v>26</v>
      </c>
      <c r="W15" s="33">
        <f t="shared" si="11"/>
        <v>3.0588235294117645</v>
      </c>
      <c r="X15" s="29">
        <v>888</v>
      </c>
      <c r="Y15" s="30">
        <f t="shared" si="12"/>
        <v>856</v>
      </c>
      <c r="Z15" s="31">
        <f t="shared" si="13"/>
        <v>96.396396396396398</v>
      </c>
      <c r="AA15" s="30">
        <v>0</v>
      </c>
      <c r="AB15" s="31">
        <f t="shared" si="14"/>
        <v>0</v>
      </c>
      <c r="AC15" s="32">
        <v>32</v>
      </c>
      <c r="AD15" s="33">
        <f t="shared" si="15"/>
        <v>3.6036036036036037</v>
      </c>
      <c r="AE15" s="29">
        <v>901</v>
      </c>
      <c r="AF15" s="30">
        <f t="shared" si="16"/>
        <v>832</v>
      </c>
      <c r="AG15" s="31">
        <f t="shared" si="17"/>
        <v>92.341842397336293</v>
      </c>
      <c r="AH15" s="30">
        <v>32</v>
      </c>
      <c r="AI15" s="31">
        <f t="shared" si="18"/>
        <v>3.551609322974473</v>
      </c>
      <c r="AJ15" s="32">
        <v>37</v>
      </c>
      <c r="AK15" s="33">
        <f t="shared" si="19"/>
        <v>4.1065482796892345</v>
      </c>
      <c r="AL15" s="29">
        <v>919</v>
      </c>
      <c r="AM15" s="30">
        <f t="shared" si="20"/>
        <v>882</v>
      </c>
      <c r="AN15" s="31">
        <f t="shared" si="21"/>
        <v>95.973884657236127</v>
      </c>
      <c r="AO15" s="30">
        <v>0</v>
      </c>
      <c r="AP15" s="31">
        <f t="shared" si="22"/>
        <v>0</v>
      </c>
      <c r="AQ15" s="32">
        <v>37</v>
      </c>
      <c r="AR15" s="33">
        <f t="shared" si="23"/>
        <v>4.0261153427638741</v>
      </c>
      <c r="AS15" s="29">
        <v>952</v>
      </c>
      <c r="AT15" s="30">
        <f t="shared" si="24"/>
        <v>919</v>
      </c>
      <c r="AU15" s="31">
        <f t="shared" si="25"/>
        <v>96.533613445378151</v>
      </c>
      <c r="AV15" s="30">
        <v>0</v>
      </c>
      <c r="AW15" s="31">
        <f t="shared" si="26"/>
        <v>0</v>
      </c>
      <c r="AX15" s="32">
        <v>33</v>
      </c>
      <c r="AY15" s="33">
        <f t="shared" si="27"/>
        <v>3.4663865546218489</v>
      </c>
      <c r="AZ15" s="29">
        <v>931</v>
      </c>
      <c r="BA15" s="30">
        <f t="shared" si="28"/>
        <v>904</v>
      </c>
      <c r="BB15" s="31">
        <f t="shared" si="29"/>
        <v>97.099892588614395</v>
      </c>
      <c r="BC15" s="30">
        <v>0</v>
      </c>
      <c r="BD15" s="31">
        <f t="shared" si="30"/>
        <v>0</v>
      </c>
      <c r="BE15" s="32">
        <v>27</v>
      </c>
      <c r="BF15" s="34">
        <f t="shared" si="31"/>
        <v>2.9001074113856067</v>
      </c>
      <c r="BG15" s="29">
        <v>946</v>
      </c>
      <c r="BH15" s="30">
        <f t="shared" si="32"/>
        <v>924</v>
      </c>
      <c r="BI15" s="31">
        <f t="shared" si="33"/>
        <v>97.674418604651166</v>
      </c>
      <c r="BJ15" s="30">
        <v>0</v>
      </c>
      <c r="BK15" s="31">
        <f t="shared" si="34"/>
        <v>0</v>
      </c>
      <c r="BL15" s="32">
        <v>22</v>
      </c>
      <c r="BM15" s="34">
        <f t="shared" si="35"/>
        <v>2.3255813953488373</v>
      </c>
      <c r="BN15" s="29">
        <v>952</v>
      </c>
      <c r="BO15" s="30">
        <f t="shared" si="36"/>
        <v>930</v>
      </c>
      <c r="BP15" s="31">
        <f t="shared" si="37"/>
        <v>97.689075630252105</v>
      </c>
      <c r="BQ15" s="30">
        <v>0</v>
      </c>
      <c r="BR15" s="31">
        <f t="shared" si="38"/>
        <v>0</v>
      </c>
      <c r="BS15" s="32">
        <v>22</v>
      </c>
      <c r="BT15" s="34">
        <f t="shared" si="39"/>
        <v>2.3109243697478989</v>
      </c>
      <c r="BU15" s="29">
        <v>958</v>
      </c>
      <c r="BV15" s="30">
        <f t="shared" si="40"/>
        <v>929</v>
      </c>
      <c r="BW15" s="31">
        <f t="shared" si="41"/>
        <v>96.972860125260965</v>
      </c>
      <c r="BX15" s="30">
        <v>0</v>
      </c>
      <c r="BY15" s="31">
        <f t="shared" si="42"/>
        <v>0</v>
      </c>
      <c r="BZ15" s="32">
        <v>29</v>
      </c>
      <c r="CA15" s="34">
        <f t="shared" si="43"/>
        <v>3.0271398747390394</v>
      </c>
      <c r="CB15" s="29">
        <v>964</v>
      </c>
      <c r="CC15" s="30">
        <f t="shared" si="44"/>
        <v>940</v>
      </c>
      <c r="CD15" s="31">
        <f t="shared" si="45"/>
        <v>97.510373443983397</v>
      </c>
      <c r="CE15" s="30">
        <v>0</v>
      </c>
      <c r="CF15" s="31">
        <f t="shared" si="46"/>
        <v>0</v>
      </c>
      <c r="CG15" s="32">
        <v>24</v>
      </c>
      <c r="CH15" s="34">
        <f t="shared" si="47"/>
        <v>2.4896265560165975</v>
      </c>
      <c r="CI15" s="29">
        <v>932</v>
      </c>
      <c r="CJ15" s="30">
        <f t="shared" si="48"/>
        <v>909</v>
      </c>
      <c r="CK15" s="31">
        <f t="shared" si="49"/>
        <v>97.532188841201716</v>
      </c>
      <c r="CL15" s="30">
        <v>0</v>
      </c>
      <c r="CM15" s="31">
        <f t="shared" si="50"/>
        <v>0</v>
      </c>
      <c r="CN15" s="32">
        <v>23</v>
      </c>
      <c r="CO15" s="34">
        <f t="shared" si="51"/>
        <v>2.4678111587982832</v>
      </c>
      <c r="CP15" s="29">
        <v>955</v>
      </c>
      <c r="CQ15" s="30">
        <f t="shared" si="52"/>
        <v>927</v>
      </c>
      <c r="CR15" s="31">
        <f t="shared" si="53"/>
        <v>97.068062827225134</v>
      </c>
      <c r="CS15" s="30">
        <v>0</v>
      </c>
      <c r="CT15" s="31">
        <f t="shared" si="54"/>
        <v>0</v>
      </c>
      <c r="CU15" s="32">
        <v>28</v>
      </c>
      <c r="CV15" s="34">
        <f t="shared" si="55"/>
        <v>2.9319371727748691</v>
      </c>
      <c r="CW15" s="29">
        <v>949</v>
      </c>
      <c r="CX15" s="30">
        <f t="shared" si="56"/>
        <v>928</v>
      </c>
      <c r="CY15" s="31">
        <f t="shared" si="57"/>
        <v>97.787144362486828</v>
      </c>
      <c r="CZ15" s="30">
        <v>0</v>
      </c>
      <c r="DA15" s="31">
        <f t="shared" si="58"/>
        <v>0</v>
      </c>
      <c r="DB15" s="32">
        <v>21</v>
      </c>
      <c r="DC15" s="34">
        <f t="shared" si="59"/>
        <v>2.2128556375131718</v>
      </c>
      <c r="DD15" s="29">
        <v>880</v>
      </c>
      <c r="DE15" s="30">
        <f t="shared" si="60"/>
        <v>862</v>
      </c>
      <c r="DF15" s="31">
        <f t="shared" si="61"/>
        <v>97.954545454545453</v>
      </c>
      <c r="DG15" s="30">
        <v>0</v>
      </c>
      <c r="DH15" s="31">
        <f t="shared" si="62"/>
        <v>0</v>
      </c>
      <c r="DI15" s="32">
        <v>18</v>
      </c>
      <c r="DJ15" s="34">
        <f t="shared" si="63"/>
        <v>2.0454545454545454</v>
      </c>
    </row>
    <row r="16" spans="1:114" ht="26.4" customHeight="1" x14ac:dyDescent="0.25">
      <c r="A16" s="27">
        <f t="shared" si="64"/>
        <v>7</v>
      </c>
      <c r="B16" s="28" t="s">
        <v>34</v>
      </c>
      <c r="C16" s="29">
        <v>656</v>
      </c>
      <c r="D16" s="30">
        <f t="shared" si="0"/>
        <v>635</v>
      </c>
      <c r="E16" s="31">
        <f t="shared" si="1"/>
        <v>96.798780487804876</v>
      </c>
      <c r="F16" s="30">
        <v>5</v>
      </c>
      <c r="G16" s="31">
        <f t="shared" si="2"/>
        <v>0.76219512195121952</v>
      </c>
      <c r="H16" s="32">
        <v>16</v>
      </c>
      <c r="I16" s="33">
        <f t="shared" si="3"/>
        <v>2.4390243902439024</v>
      </c>
      <c r="J16" s="29">
        <v>614</v>
      </c>
      <c r="K16" s="30">
        <f t="shared" si="4"/>
        <v>592</v>
      </c>
      <c r="L16" s="31">
        <f t="shared" si="5"/>
        <v>96.416938110749186</v>
      </c>
      <c r="M16" s="30">
        <v>8</v>
      </c>
      <c r="N16" s="31">
        <f t="shared" si="6"/>
        <v>1.3029315960912051</v>
      </c>
      <c r="O16" s="32">
        <v>14</v>
      </c>
      <c r="P16" s="33">
        <f t="shared" si="7"/>
        <v>2.2801302931596092</v>
      </c>
      <c r="Q16" s="29">
        <v>571</v>
      </c>
      <c r="R16" s="30">
        <f t="shared" si="8"/>
        <v>553</v>
      </c>
      <c r="S16" s="31">
        <f t="shared" si="9"/>
        <v>96.84763572679509</v>
      </c>
      <c r="T16" s="30">
        <v>3</v>
      </c>
      <c r="U16" s="31">
        <f t="shared" si="10"/>
        <v>0.52539404553415059</v>
      </c>
      <c r="V16" s="32">
        <v>15</v>
      </c>
      <c r="W16" s="33">
        <f t="shared" si="11"/>
        <v>2.6269702276707529</v>
      </c>
      <c r="X16" s="29">
        <v>547</v>
      </c>
      <c r="Y16" s="30">
        <f t="shared" si="12"/>
        <v>529</v>
      </c>
      <c r="Z16" s="31">
        <f t="shared" si="13"/>
        <v>96.709323583180989</v>
      </c>
      <c r="AA16" s="30">
        <v>0</v>
      </c>
      <c r="AB16" s="31">
        <f t="shared" si="14"/>
        <v>0</v>
      </c>
      <c r="AC16" s="32">
        <v>18</v>
      </c>
      <c r="AD16" s="33">
        <f t="shared" si="15"/>
        <v>3.290676416819013</v>
      </c>
      <c r="AE16" s="29">
        <v>491</v>
      </c>
      <c r="AF16" s="30">
        <f t="shared" si="16"/>
        <v>475</v>
      </c>
      <c r="AG16" s="31">
        <f t="shared" si="17"/>
        <v>96.741344195519346</v>
      </c>
      <c r="AH16" s="30">
        <v>0</v>
      </c>
      <c r="AI16" s="31">
        <f t="shared" si="18"/>
        <v>0</v>
      </c>
      <c r="AJ16" s="32">
        <v>16</v>
      </c>
      <c r="AK16" s="33">
        <f t="shared" si="19"/>
        <v>3.258655804480652</v>
      </c>
      <c r="AL16" s="29">
        <v>457</v>
      </c>
      <c r="AM16" s="30">
        <f t="shared" si="20"/>
        <v>440</v>
      </c>
      <c r="AN16" s="31">
        <f t="shared" si="21"/>
        <v>96.280087527352293</v>
      </c>
      <c r="AO16" s="30">
        <v>0</v>
      </c>
      <c r="AP16" s="31">
        <f t="shared" si="22"/>
        <v>0</v>
      </c>
      <c r="AQ16" s="32">
        <v>17</v>
      </c>
      <c r="AR16" s="33">
        <f t="shared" si="23"/>
        <v>3.7199124726477022</v>
      </c>
      <c r="AS16" s="29">
        <v>482</v>
      </c>
      <c r="AT16" s="30">
        <f t="shared" si="24"/>
        <v>467</v>
      </c>
      <c r="AU16" s="31">
        <f t="shared" si="25"/>
        <v>96.887966804979257</v>
      </c>
      <c r="AV16" s="30">
        <v>0</v>
      </c>
      <c r="AW16" s="31">
        <f t="shared" si="26"/>
        <v>0</v>
      </c>
      <c r="AX16" s="32">
        <v>15</v>
      </c>
      <c r="AY16" s="33">
        <f t="shared" si="27"/>
        <v>3.1120331950207469</v>
      </c>
      <c r="AZ16" s="29">
        <v>526</v>
      </c>
      <c r="BA16" s="30">
        <f t="shared" si="28"/>
        <v>520</v>
      </c>
      <c r="BB16" s="31">
        <f t="shared" si="29"/>
        <v>98.859315589353614</v>
      </c>
      <c r="BC16" s="30">
        <v>0</v>
      </c>
      <c r="BD16" s="31">
        <f t="shared" si="30"/>
        <v>0</v>
      </c>
      <c r="BE16" s="32">
        <v>6</v>
      </c>
      <c r="BF16" s="34">
        <f t="shared" si="31"/>
        <v>1.1406844106463878</v>
      </c>
      <c r="BG16" s="29">
        <v>563</v>
      </c>
      <c r="BH16" s="30">
        <f t="shared" si="32"/>
        <v>558</v>
      </c>
      <c r="BI16" s="31">
        <f t="shared" si="33"/>
        <v>99.111900532859678</v>
      </c>
      <c r="BJ16" s="30">
        <v>0</v>
      </c>
      <c r="BK16" s="31">
        <f t="shared" si="34"/>
        <v>0</v>
      </c>
      <c r="BL16" s="32">
        <v>5</v>
      </c>
      <c r="BM16" s="34">
        <f t="shared" si="35"/>
        <v>0.88809946714031973</v>
      </c>
      <c r="BN16" s="29">
        <v>534</v>
      </c>
      <c r="BO16" s="30">
        <f t="shared" si="36"/>
        <v>530</v>
      </c>
      <c r="BP16" s="31">
        <f t="shared" si="37"/>
        <v>99.250936329588015</v>
      </c>
      <c r="BQ16" s="30">
        <v>0</v>
      </c>
      <c r="BR16" s="31">
        <f t="shared" si="38"/>
        <v>0</v>
      </c>
      <c r="BS16" s="32">
        <v>4</v>
      </c>
      <c r="BT16" s="34">
        <f t="shared" si="39"/>
        <v>0.74906367041198507</v>
      </c>
      <c r="BU16" s="29">
        <v>506</v>
      </c>
      <c r="BV16" s="30">
        <f t="shared" si="40"/>
        <v>502</v>
      </c>
      <c r="BW16" s="31">
        <f t="shared" si="41"/>
        <v>99.209486166007906</v>
      </c>
      <c r="BX16" s="30">
        <v>0</v>
      </c>
      <c r="BY16" s="31">
        <f t="shared" si="42"/>
        <v>0</v>
      </c>
      <c r="BZ16" s="32">
        <v>4</v>
      </c>
      <c r="CA16" s="34">
        <f t="shared" si="43"/>
        <v>0.79051383399209485</v>
      </c>
      <c r="CB16" s="29">
        <v>538</v>
      </c>
      <c r="CC16" s="30">
        <f t="shared" si="44"/>
        <v>529</v>
      </c>
      <c r="CD16" s="31">
        <f t="shared" si="45"/>
        <v>98.327137546468407</v>
      </c>
      <c r="CE16" s="30">
        <v>0</v>
      </c>
      <c r="CF16" s="31">
        <f t="shared" si="46"/>
        <v>0</v>
      </c>
      <c r="CG16" s="32">
        <v>9</v>
      </c>
      <c r="CH16" s="34">
        <f t="shared" si="47"/>
        <v>1.6728624535315986</v>
      </c>
      <c r="CI16" s="29">
        <v>553</v>
      </c>
      <c r="CJ16" s="30">
        <f t="shared" si="48"/>
        <v>545</v>
      </c>
      <c r="CK16" s="31">
        <f t="shared" si="49"/>
        <v>98.553345388788429</v>
      </c>
      <c r="CL16" s="30">
        <v>0</v>
      </c>
      <c r="CM16" s="31">
        <f t="shared" si="50"/>
        <v>0</v>
      </c>
      <c r="CN16" s="32">
        <v>8</v>
      </c>
      <c r="CO16" s="34">
        <f t="shared" si="51"/>
        <v>1.4466546112115732</v>
      </c>
      <c r="CP16" s="29">
        <v>607</v>
      </c>
      <c r="CQ16" s="30">
        <f t="shared" si="52"/>
        <v>598</v>
      </c>
      <c r="CR16" s="31">
        <f t="shared" si="53"/>
        <v>98.51729818780889</v>
      </c>
      <c r="CS16" s="30">
        <v>0</v>
      </c>
      <c r="CT16" s="31">
        <f t="shared" si="54"/>
        <v>0</v>
      </c>
      <c r="CU16" s="32">
        <v>9</v>
      </c>
      <c r="CV16" s="34">
        <f t="shared" si="55"/>
        <v>1.4827018121911038</v>
      </c>
      <c r="CW16" s="29">
        <v>615</v>
      </c>
      <c r="CX16" s="30">
        <f t="shared" si="56"/>
        <v>604</v>
      </c>
      <c r="CY16" s="31">
        <f t="shared" si="57"/>
        <v>98.211382113821145</v>
      </c>
      <c r="CZ16" s="30">
        <v>2</v>
      </c>
      <c r="DA16" s="31">
        <f t="shared" si="58"/>
        <v>0.32520325203252032</v>
      </c>
      <c r="DB16" s="32">
        <v>9</v>
      </c>
      <c r="DC16" s="34">
        <f t="shared" si="59"/>
        <v>1.4634146341463414</v>
      </c>
      <c r="DD16" s="29">
        <v>581</v>
      </c>
      <c r="DE16" s="30">
        <f t="shared" si="60"/>
        <v>566</v>
      </c>
      <c r="DF16" s="31">
        <f t="shared" si="61"/>
        <v>97.418244406196209</v>
      </c>
      <c r="DG16" s="30">
        <v>5</v>
      </c>
      <c r="DH16" s="31">
        <f t="shared" si="62"/>
        <v>0.86058519793459554</v>
      </c>
      <c r="DI16" s="32">
        <v>10</v>
      </c>
      <c r="DJ16" s="34">
        <f t="shared" si="63"/>
        <v>1.7211703958691911</v>
      </c>
    </row>
    <row r="17" spans="1:114" ht="26.4" customHeight="1" x14ac:dyDescent="0.25">
      <c r="A17" s="27">
        <f t="shared" si="64"/>
        <v>8</v>
      </c>
      <c r="B17" s="35" t="s">
        <v>18</v>
      </c>
      <c r="C17" s="29">
        <v>462</v>
      </c>
      <c r="D17" s="30">
        <f t="shared" si="0"/>
        <v>434</v>
      </c>
      <c r="E17" s="31">
        <f t="shared" si="1"/>
        <v>93.939393939393938</v>
      </c>
      <c r="F17" s="30">
        <v>0</v>
      </c>
      <c r="G17" s="31">
        <f t="shared" si="2"/>
        <v>0</v>
      </c>
      <c r="H17" s="32">
        <v>28</v>
      </c>
      <c r="I17" s="33">
        <f t="shared" si="3"/>
        <v>6.0606060606060606</v>
      </c>
      <c r="J17" s="29">
        <v>490</v>
      </c>
      <c r="K17" s="30">
        <f t="shared" si="4"/>
        <v>464</v>
      </c>
      <c r="L17" s="31">
        <f t="shared" si="5"/>
        <v>94.693877551020407</v>
      </c>
      <c r="M17" s="30">
        <v>0</v>
      </c>
      <c r="N17" s="31">
        <f t="shared" si="6"/>
        <v>0</v>
      </c>
      <c r="O17" s="32">
        <v>26</v>
      </c>
      <c r="P17" s="33">
        <f t="shared" si="7"/>
        <v>5.3061224489795915</v>
      </c>
      <c r="Q17" s="29">
        <v>564</v>
      </c>
      <c r="R17" s="30">
        <f t="shared" si="8"/>
        <v>535</v>
      </c>
      <c r="S17" s="31">
        <f t="shared" si="9"/>
        <v>94.858156028368796</v>
      </c>
      <c r="T17" s="30">
        <v>0</v>
      </c>
      <c r="U17" s="31">
        <f t="shared" si="10"/>
        <v>0</v>
      </c>
      <c r="V17" s="32">
        <v>29</v>
      </c>
      <c r="W17" s="33">
        <f t="shared" si="11"/>
        <v>5.1418439716312054</v>
      </c>
      <c r="X17" s="29">
        <v>822</v>
      </c>
      <c r="Y17" s="30">
        <f t="shared" si="12"/>
        <v>800</v>
      </c>
      <c r="Z17" s="31">
        <f t="shared" si="13"/>
        <v>97.323600973236012</v>
      </c>
      <c r="AA17" s="30">
        <v>0</v>
      </c>
      <c r="AB17" s="31">
        <f t="shared" si="14"/>
        <v>0</v>
      </c>
      <c r="AC17" s="32">
        <v>22</v>
      </c>
      <c r="AD17" s="33">
        <f t="shared" si="15"/>
        <v>2.6763990267639901</v>
      </c>
      <c r="AE17" s="29">
        <v>863</v>
      </c>
      <c r="AF17" s="30">
        <f t="shared" si="16"/>
        <v>837</v>
      </c>
      <c r="AG17" s="31">
        <f t="shared" si="17"/>
        <v>96.987253765932792</v>
      </c>
      <c r="AH17" s="30">
        <v>0</v>
      </c>
      <c r="AI17" s="31">
        <f t="shared" si="18"/>
        <v>0</v>
      </c>
      <c r="AJ17" s="32">
        <v>26</v>
      </c>
      <c r="AK17" s="33">
        <f t="shared" si="19"/>
        <v>3.0127462340672073</v>
      </c>
      <c r="AL17" s="29">
        <v>880</v>
      </c>
      <c r="AM17" s="30">
        <f t="shared" si="20"/>
        <v>856</v>
      </c>
      <c r="AN17" s="31">
        <f t="shared" si="21"/>
        <v>97.272727272727266</v>
      </c>
      <c r="AO17" s="30">
        <v>0</v>
      </c>
      <c r="AP17" s="31">
        <f t="shared" si="22"/>
        <v>0</v>
      </c>
      <c r="AQ17" s="32">
        <v>24</v>
      </c>
      <c r="AR17" s="33">
        <f t="shared" si="23"/>
        <v>2.7272727272727271</v>
      </c>
      <c r="AS17" s="29">
        <v>931</v>
      </c>
      <c r="AT17" s="30">
        <f t="shared" si="24"/>
        <v>910</v>
      </c>
      <c r="AU17" s="31">
        <f t="shared" si="25"/>
        <v>97.744360902255636</v>
      </c>
      <c r="AV17" s="30">
        <v>0</v>
      </c>
      <c r="AW17" s="31">
        <f t="shared" si="26"/>
        <v>0</v>
      </c>
      <c r="AX17" s="32">
        <v>21</v>
      </c>
      <c r="AY17" s="33">
        <f t="shared" si="27"/>
        <v>2.255639097744361</v>
      </c>
      <c r="AZ17" s="29">
        <v>938</v>
      </c>
      <c r="BA17" s="30">
        <f t="shared" si="28"/>
        <v>920</v>
      </c>
      <c r="BB17" s="31">
        <f t="shared" si="29"/>
        <v>98.081023454157787</v>
      </c>
      <c r="BC17" s="30">
        <v>0</v>
      </c>
      <c r="BD17" s="31">
        <f t="shared" si="30"/>
        <v>0</v>
      </c>
      <c r="BE17" s="32">
        <v>18</v>
      </c>
      <c r="BF17" s="34">
        <f t="shared" si="31"/>
        <v>1.9189765458422174</v>
      </c>
      <c r="BG17" s="29">
        <v>964</v>
      </c>
      <c r="BH17" s="30">
        <f t="shared" si="32"/>
        <v>945</v>
      </c>
      <c r="BI17" s="31">
        <f t="shared" si="33"/>
        <v>98.029045643153523</v>
      </c>
      <c r="BJ17" s="30">
        <v>0</v>
      </c>
      <c r="BK17" s="31">
        <f t="shared" si="34"/>
        <v>0</v>
      </c>
      <c r="BL17" s="32">
        <v>19</v>
      </c>
      <c r="BM17" s="34">
        <f t="shared" si="35"/>
        <v>1.9709543568464731</v>
      </c>
      <c r="BN17" s="29">
        <v>986</v>
      </c>
      <c r="BO17" s="30">
        <f t="shared" si="36"/>
        <v>966</v>
      </c>
      <c r="BP17" s="31">
        <f t="shared" si="37"/>
        <v>97.971602434077084</v>
      </c>
      <c r="BQ17" s="30">
        <v>0</v>
      </c>
      <c r="BR17" s="31">
        <f t="shared" si="38"/>
        <v>0</v>
      </c>
      <c r="BS17" s="32">
        <v>20</v>
      </c>
      <c r="BT17" s="34">
        <f t="shared" si="39"/>
        <v>2.028397565922921</v>
      </c>
      <c r="BU17" s="29">
        <v>1005</v>
      </c>
      <c r="BV17" s="30">
        <f t="shared" si="40"/>
        <v>984</v>
      </c>
      <c r="BW17" s="31">
        <f t="shared" si="41"/>
        <v>97.910447761194035</v>
      </c>
      <c r="BX17" s="30">
        <v>0</v>
      </c>
      <c r="BY17" s="31">
        <f t="shared" si="42"/>
        <v>0</v>
      </c>
      <c r="BZ17" s="32">
        <v>21</v>
      </c>
      <c r="CA17" s="34">
        <f t="shared" si="43"/>
        <v>2.08955223880597</v>
      </c>
      <c r="CB17" s="29">
        <v>1015</v>
      </c>
      <c r="CC17" s="30">
        <f t="shared" si="44"/>
        <v>993</v>
      </c>
      <c r="CD17" s="31">
        <f t="shared" si="45"/>
        <v>97.832512315270932</v>
      </c>
      <c r="CE17" s="30">
        <v>0</v>
      </c>
      <c r="CF17" s="31">
        <f t="shared" si="46"/>
        <v>0</v>
      </c>
      <c r="CG17" s="32">
        <v>22</v>
      </c>
      <c r="CH17" s="34">
        <f t="shared" si="47"/>
        <v>2.1674876847290641</v>
      </c>
      <c r="CI17" s="29">
        <v>1044</v>
      </c>
      <c r="CJ17" s="30">
        <f t="shared" si="48"/>
        <v>1018</v>
      </c>
      <c r="CK17" s="31">
        <f t="shared" si="49"/>
        <v>97.509578544061299</v>
      </c>
      <c r="CL17" s="30">
        <v>0</v>
      </c>
      <c r="CM17" s="31">
        <f t="shared" si="50"/>
        <v>0</v>
      </c>
      <c r="CN17" s="32">
        <v>26</v>
      </c>
      <c r="CO17" s="34">
        <f t="shared" si="51"/>
        <v>2.4904214559386975</v>
      </c>
      <c r="CP17" s="29">
        <v>1078</v>
      </c>
      <c r="CQ17" s="30">
        <f t="shared" si="52"/>
        <v>1051</v>
      </c>
      <c r="CR17" s="31">
        <f t="shared" si="53"/>
        <v>97.49536178107607</v>
      </c>
      <c r="CS17" s="30">
        <v>0</v>
      </c>
      <c r="CT17" s="31">
        <f t="shared" si="54"/>
        <v>0</v>
      </c>
      <c r="CU17" s="32">
        <v>27</v>
      </c>
      <c r="CV17" s="34">
        <f t="shared" si="55"/>
        <v>2.5046382189239331</v>
      </c>
      <c r="CW17" s="29">
        <v>1061</v>
      </c>
      <c r="CX17" s="30">
        <f t="shared" si="56"/>
        <v>1032</v>
      </c>
      <c r="CY17" s="31">
        <f t="shared" si="57"/>
        <v>97.266729500471257</v>
      </c>
      <c r="CZ17" s="30">
        <v>0</v>
      </c>
      <c r="DA17" s="31">
        <f t="shared" si="58"/>
        <v>0</v>
      </c>
      <c r="DB17" s="32">
        <v>29</v>
      </c>
      <c r="DC17" s="34">
        <f t="shared" si="59"/>
        <v>2.7332704995287465</v>
      </c>
      <c r="DD17" s="29">
        <v>977</v>
      </c>
      <c r="DE17" s="30">
        <f t="shared" si="60"/>
        <v>952</v>
      </c>
      <c r="DF17" s="31">
        <f t="shared" si="61"/>
        <v>97.441146366427844</v>
      </c>
      <c r="DG17" s="30">
        <v>0</v>
      </c>
      <c r="DH17" s="31">
        <f t="shared" si="62"/>
        <v>0</v>
      </c>
      <c r="DI17" s="32">
        <v>25</v>
      </c>
      <c r="DJ17" s="34">
        <f t="shared" si="63"/>
        <v>2.5588536335721597</v>
      </c>
    </row>
    <row r="18" spans="1:114" ht="26.4" customHeight="1" x14ac:dyDescent="0.25">
      <c r="A18" s="27">
        <f t="shared" si="64"/>
        <v>9</v>
      </c>
      <c r="B18" s="35" t="s">
        <v>19</v>
      </c>
      <c r="C18" s="29">
        <v>774</v>
      </c>
      <c r="D18" s="30">
        <f t="shared" si="0"/>
        <v>705</v>
      </c>
      <c r="E18" s="31">
        <f t="shared" si="1"/>
        <v>91.085271317829452</v>
      </c>
      <c r="F18" s="30">
        <v>44</v>
      </c>
      <c r="G18" s="31">
        <f t="shared" si="2"/>
        <v>5.684754521963824</v>
      </c>
      <c r="H18" s="32">
        <v>25</v>
      </c>
      <c r="I18" s="33">
        <f t="shared" si="3"/>
        <v>3.2299741602067185</v>
      </c>
      <c r="J18" s="29">
        <v>742</v>
      </c>
      <c r="K18" s="30">
        <f t="shared" si="4"/>
        <v>675</v>
      </c>
      <c r="L18" s="31">
        <f t="shared" si="5"/>
        <v>90.970350404312669</v>
      </c>
      <c r="M18" s="30">
        <v>44</v>
      </c>
      <c r="N18" s="31">
        <f t="shared" si="6"/>
        <v>5.9299191374663076</v>
      </c>
      <c r="O18" s="32">
        <v>23</v>
      </c>
      <c r="P18" s="33">
        <f t="shared" si="7"/>
        <v>3.0997304582210243</v>
      </c>
      <c r="Q18" s="29">
        <v>695</v>
      </c>
      <c r="R18" s="30">
        <f t="shared" si="8"/>
        <v>621</v>
      </c>
      <c r="S18" s="31">
        <f t="shared" si="9"/>
        <v>89.352517985611513</v>
      </c>
      <c r="T18" s="30">
        <v>51</v>
      </c>
      <c r="U18" s="31">
        <f t="shared" si="10"/>
        <v>7.3381294964028774</v>
      </c>
      <c r="V18" s="32">
        <v>23</v>
      </c>
      <c r="W18" s="33">
        <f t="shared" si="11"/>
        <v>3.3093525179856114</v>
      </c>
      <c r="X18" s="29">
        <v>582</v>
      </c>
      <c r="Y18" s="30">
        <f t="shared" si="12"/>
        <v>515</v>
      </c>
      <c r="Z18" s="31">
        <f t="shared" si="13"/>
        <v>88.487972508591071</v>
      </c>
      <c r="AA18" s="30">
        <v>32</v>
      </c>
      <c r="AB18" s="31">
        <f t="shared" si="14"/>
        <v>5.4982817869415808</v>
      </c>
      <c r="AC18" s="32">
        <v>35</v>
      </c>
      <c r="AD18" s="33">
        <f t="shared" si="15"/>
        <v>6.0137457044673539</v>
      </c>
      <c r="AE18" s="29">
        <v>594</v>
      </c>
      <c r="AF18" s="30">
        <f t="shared" si="16"/>
        <v>529</v>
      </c>
      <c r="AG18" s="31">
        <f t="shared" si="17"/>
        <v>89.057239057239059</v>
      </c>
      <c r="AH18" s="30">
        <v>30</v>
      </c>
      <c r="AI18" s="31">
        <f t="shared" si="18"/>
        <v>5.0505050505050502</v>
      </c>
      <c r="AJ18" s="32">
        <v>35</v>
      </c>
      <c r="AK18" s="33">
        <f t="shared" si="19"/>
        <v>5.8922558922558919</v>
      </c>
      <c r="AL18" s="29">
        <v>619</v>
      </c>
      <c r="AM18" s="30">
        <f t="shared" si="20"/>
        <v>566</v>
      </c>
      <c r="AN18" s="31">
        <f t="shared" si="21"/>
        <v>91.437802907915994</v>
      </c>
      <c r="AO18" s="30">
        <v>19</v>
      </c>
      <c r="AP18" s="31">
        <f t="shared" si="22"/>
        <v>3.0694668820678515</v>
      </c>
      <c r="AQ18" s="32">
        <v>34</v>
      </c>
      <c r="AR18" s="33">
        <f t="shared" si="23"/>
        <v>5.4927302100161555</v>
      </c>
      <c r="AS18" s="29">
        <v>615</v>
      </c>
      <c r="AT18" s="30">
        <f t="shared" si="24"/>
        <v>554</v>
      </c>
      <c r="AU18" s="31">
        <f t="shared" si="25"/>
        <v>90.081300813008127</v>
      </c>
      <c r="AV18" s="30">
        <v>23</v>
      </c>
      <c r="AW18" s="31">
        <f t="shared" si="26"/>
        <v>3.7398373983739837</v>
      </c>
      <c r="AX18" s="32">
        <v>38</v>
      </c>
      <c r="AY18" s="33">
        <f t="shared" si="27"/>
        <v>6.178861788617886</v>
      </c>
      <c r="AZ18" s="29">
        <v>636</v>
      </c>
      <c r="BA18" s="30">
        <f t="shared" si="28"/>
        <v>582</v>
      </c>
      <c r="BB18" s="31">
        <f t="shared" si="29"/>
        <v>91.509433962264154</v>
      </c>
      <c r="BC18" s="30">
        <v>18</v>
      </c>
      <c r="BD18" s="31">
        <f t="shared" si="30"/>
        <v>2.8301886792452828</v>
      </c>
      <c r="BE18" s="32">
        <v>36</v>
      </c>
      <c r="BF18" s="34">
        <f t="shared" si="31"/>
        <v>5.6603773584905657</v>
      </c>
      <c r="BG18" s="29">
        <v>657</v>
      </c>
      <c r="BH18" s="30">
        <f t="shared" si="32"/>
        <v>612</v>
      </c>
      <c r="BI18" s="31">
        <f t="shared" si="33"/>
        <v>93.150684931506845</v>
      </c>
      <c r="BJ18" s="30">
        <v>16</v>
      </c>
      <c r="BK18" s="31">
        <f t="shared" si="34"/>
        <v>2.4353120243531201</v>
      </c>
      <c r="BL18" s="32">
        <v>29</v>
      </c>
      <c r="BM18" s="34">
        <f t="shared" si="35"/>
        <v>4.4140030441400304</v>
      </c>
      <c r="BN18" s="29">
        <v>667</v>
      </c>
      <c r="BO18" s="30">
        <f t="shared" si="36"/>
        <v>636</v>
      </c>
      <c r="BP18" s="31">
        <f t="shared" si="37"/>
        <v>95.352323838080963</v>
      </c>
      <c r="BQ18" s="30">
        <v>9</v>
      </c>
      <c r="BR18" s="31">
        <f t="shared" si="38"/>
        <v>1.3493253373313343</v>
      </c>
      <c r="BS18" s="32">
        <v>22</v>
      </c>
      <c r="BT18" s="34">
        <f t="shared" si="39"/>
        <v>3.2983508245877062</v>
      </c>
      <c r="BU18" s="29">
        <v>675</v>
      </c>
      <c r="BV18" s="30">
        <f t="shared" si="40"/>
        <v>650</v>
      </c>
      <c r="BW18" s="31">
        <f t="shared" si="41"/>
        <v>96.296296296296291</v>
      </c>
      <c r="BX18" s="30">
        <v>5</v>
      </c>
      <c r="BY18" s="31">
        <f t="shared" si="42"/>
        <v>0.7407407407407407</v>
      </c>
      <c r="BZ18" s="32">
        <v>20</v>
      </c>
      <c r="CA18" s="34">
        <f t="shared" si="43"/>
        <v>2.9629629629629628</v>
      </c>
      <c r="CB18" s="29">
        <v>678</v>
      </c>
      <c r="CC18" s="30">
        <f t="shared" si="44"/>
        <v>655</v>
      </c>
      <c r="CD18" s="31">
        <f t="shared" si="45"/>
        <v>96.607669616519175</v>
      </c>
      <c r="CE18" s="30">
        <v>4</v>
      </c>
      <c r="CF18" s="31">
        <f t="shared" si="46"/>
        <v>0.58997050147492625</v>
      </c>
      <c r="CG18" s="32">
        <v>19</v>
      </c>
      <c r="CH18" s="34">
        <f t="shared" si="47"/>
        <v>2.8023598820058999</v>
      </c>
      <c r="CI18" s="29">
        <v>723</v>
      </c>
      <c r="CJ18" s="30">
        <f t="shared" si="48"/>
        <v>699</v>
      </c>
      <c r="CK18" s="31">
        <f t="shared" si="49"/>
        <v>96.680497925311201</v>
      </c>
      <c r="CL18" s="30">
        <v>2</v>
      </c>
      <c r="CM18" s="31">
        <f t="shared" si="50"/>
        <v>0.27662517289073307</v>
      </c>
      <c r="CN18" s="32">
        <v>22</v>
      </c>
      <c r="CO18" s="34">
        <f t="shared" si="51"/>
        <v>3.0428769017980635</v>
      </c>
      <c r="CP18" s="29">
        <v>728</v>
      </c>
      <c r="CQ18" s="30">
        <f t="shared" si="52"/>
        <v>705</v>
      </c>
      <c r="CR18" s="31">
        <f t="shared" si="53"/>
        <v>96.840659340659343</v>
      </c>
      <c r="CS18" s="30">
        <v>1</v>
      </c>
      <c r="CT18" s="31">
        <f t="shared" si="54"/>
        <v>0.13736263736263737</v>
      </c>
      <c r="CU18" s="32">
        <v>22</v>
      </c>
      <c r="CV18" s="34">
        <f t="shared" si="55"/>
        <v>3.0219780219780219</v>
      </c>
      <c r="CW18" s="29">
        <v>736</v>
      </c>
      <c r="CX18" s="30">
        <f t="shared" si="56"/>
        <v>707</v>
      </c>
      <c r="CY18" s="31">
        <f t="shared" si="57"/>
        <v>96.059782608695656</v>
      </c>
      <c r="CZ18" s="30">
        <v>3</v>
      </c>
      <c r="DA18" s="31">
        <f t="shared" si="58"/>
        <v>0.40760869565217389</v>
      </c>
      <c r="DB18" s="32">
        <v>26</v>
      </c>
      <c r="DC18" s="34">
        <f t="shared" si="59"/>
        <v>3.5326086956521738</v>
      </c>
      <c r="DD18" s="29">
        <v>672</v>
      </c>
      <c r="DE18" s="30">
        <f t="shared" si="60"/>
        <v>651</v>
      </c>
      <c r="DF18" s="31">
        <f t="shared" si="61"/>
        <v>96.875</v>
      </c>
      <c r="DG18" s="30">
        <v>2</v>
      </c>
      <c r="DH18" s="31">
        <f t="shared" si="62"/>
        <v>0.29761904761904762</v>
      </c>
      <c r="DI18" s="32">
        <v>19</v>
      </c>
      <c r="DJ18" s="34">
        <f t="shared" si="63"/>
        <v>2.8273809523809526</v>
      </c>
    </row>
    <row r="19" spans="1:114" ht="26.4" customHeight="1" x14ac:dyDescent="0.25">
      <c r="A19" s="27">
        <f t="shared" si="64"/>
        <v>10</v>
      </c>
      <c r="B19" s="35" t="s">
        <v>20</v>
      </c>
      <c r="C19" s="29">
        <v>639</v>
      </c>
      <c r="D19" s="30">
        <f t="shared" si="0"/>
        <v>632</v>
      </c>
      <c r="E19" s="31">
        <f t="shared" si="1"/>
        <v>98.904538341158059</v>
      </c>
      <c r="F19" s="30">
        <v>0</v>
      </c>
      <c r="G19" s="31">
        <f t="shared" si="2"/>
        <v>0</v>
      </c>
      <c r="H19" s="32">
        <v>7</v>
      </c>
      <c r="I19" s="33">
        <f t="shared" si="3"/>
        <v>1.0954616588419406</v>
      </c>
      <c r="J19" s="29">
        <v>635</v>
      </c>
      <c r="K19" s="30">
        <f t="shared" si="4"/>
        <v>628</v>
      </c>
      <c r="L19" s="31">
        <f t="shared" si="5"/>
        <v>98.897637795275585</v>
      </c>
      <c r="M19" s="30">
        <v>0</v>
      </c>
      <c r="N19" s="31">
        <f t="shared" si="6"/>
        <v>0</v>
      </c>
      <c r="O19" s="32">
        <v>7</v>
      </c>
      <c r="P19" s="33">
        <f t="shared" si="7"/>
        <v>1.1023622047244095</v>
      </c>
      <c r="Q19" s="29">
        <v>634</v>
      </c>
      <c r="R19" s="30">
        <f t="shared" si="8"/>
        <v>624</v>
      </c>
      <c r="S19" s="31">
        <f t="shared" si="9"/>
        <v>98.422712933753942</v>
      </c>
      <c r="T19" s="30">
        <v>0</v>
      </c>
      <c r="U19" s="31">
        <f t="shared" si="10"/>
        <v>0</v>
      </c>
      <c r="V19" s="32">
        <v>10</v>
      </c>
      <c r="W19" s="33">
        <f t="shared" si="11"/>
        <v>1.5772870662460567</v>
      </c>
      <c r="X19" s="29">
        <v>681</v>
      </c>
      <c r="Y19" s="30">
        <f t="shared" si="12"/>
        <v>663</v>
      </c>
      <c r="Z19" s="31">
        <f t="shared" si="13"/>
        <v>97.356828193832598</v>
      </c>
      <c r="AA19" s="30">
        <v>0</v>
      </c>
      <c r="AB19" s="31">
        <f t="shared" si="14"/>
        <v>0</v>
      </c>
      <c r="AC19" s="32">
        <v>18</v>
      </c>
      <c r="AD19" s="33">
        <f t="shared" si="15"/>
        <v>2.643171806167401</v>
      </c>
      <c r="AE19" s="29">
        <v>650</v>
      </c>
      <c r="AF19" s="30">
        <f t="shared" si="16"/>
        <v>632</v>
      </c>
      <c r="AG19" s="31">
        <f t="shared" si="17"/>
        <v>97.230769230769226</v>
      </c>
      <c r="AH19" s="30">
        <v>0</v>
      </c>
      <c r="AI19" s="31">
        <f t="shared" si="18"/>
        <v>0</v>
      </c>
      <c r="AJ19" s="32">
        <v>18</v>
      </c>
      <c r="AK19" s="33">
        <f t="shared" si="19"/>
        <v>2.7692307692307692</v>
      </c>
      <c r="AL19" s="29">
        <v>630</v>
      </c>
      <c r="AM19" s="30">
        <f t="shared" si="20"/>
        <v>616</v>
      </c>
      <c r="AN19" s="31">
        <f t="shared" si="21"/>
        <v>97.777777777777771</v>
      </c>
      <c r="AO19" s="30">
        <v>0</v>
      </c>
      <c r="AP19" s="31">
        <f t="shared" si="22"/>
        <v>0</v>
      </c>
      <c r="AQ19" s="32">
        <v>14</v>
      </c>
      <c r="AR19" s="33">
        <f t="shared" si="23"/>
        <v>2.2222222222222223</v>
      </c>
      <c r="AS19" s="29">
        <v>604</v>
      </c>
      <c r="AT19" s="30">
        <f t="shared" si="24"/>
        <v>586</v>
      </c>
      <c r="AU19" s="31">
        <f t="shared" si="25"/>
        <v>97.019867549668874</v>
      </c>
      <c r="AV19" s="30">
        <v>0</v>
      </c>
      <c r="AW19" s="31">
        <f t="shared" si="26"/>
        <v>0</v>
      </c>
      <c r="AX19" s="32">
        <v>18</v>
      </c>
      <c r="AY19" s="33">
        <f t="shared" si="27"/>
        <v>2.9801324503311259</v>
      </c>
      <c r="AZ19" s="29">
        <v>628</v>
      </c>
      <c r="BA19" s="30">
        <f t="shared" si="28"/>
        <v>609</v>
      </c>
      <c r="BB19" s="31">
        <f t="shared" si="29"/>
        <v>96.974522292993626</v>
      </c>
      <c r="BC19" s="30">
        <v>0</v>
      </c>
      <c r="BD19" s="31">
        <f t="shared" si="30"/>
        <v>0</v>
      </c>
      <c r="BE19" s="32">
        <v>19</v>
      </c>
      <c r="BF19" s="34">
        <f t="shared" si="31"/>
        <v>3.0254777070063694</v>
      </c>
      <c r="BG19" s="29">
        <v>676</v>
      </c>
      <c r="BH19" s="30">
        <f t="shared" si="32"/>
        <v>651</v>
      </c>
      <c r="BI19" s="31">
        <f t="shared" si="33"/>
        <v>96.301775147928993</v>
      </c>
      <c r="BJ19" s="30">
        <v>0</v>
      </c>
      <c r="BK19" s="31">
        <f t="shared" si="34"/>
        <v>0</v>
      </c>
      <c r="BL19" s="32">
        <v>25</v>
      </c>
      <c r="BM19" s="34">
        <f t="shared" si="35"/>
        <v>3.6982248520710059</v>
      </c>
      <c r="BN19" s="29">
        <v>710</v>
      </c>
      <c r="BO19" s="30">
        <f t="shared" si="36"/>
        <v>688</v>
      </c>
      <c r="BP19" s="31">
        <f t="shared" si="37"/>
        <v>96.901408450704224</v>
      </c>
      <c r="BQ19" s="30">
        <v>0</v>
      </c>
      <c r="BR19" s="31">
        <f t="shared" si="38"/>
        <v>0</v>
      </c>
      <c r="BS19" s="32">
        <v>22</v>
      </c>
      <c r="BT19" s="34">
        <f t="shared" si="39"/>
        <v>3.0985915492957745</v>
      </c>
      <c r="BU19" s="29">
        <v>713</v>
      </c>
      <c r="BV19" s="30">
        <f t="shared" si="40"/>
        <v>697</v>
      </c>
      <c r="BW19" s="31">
        <f t="shared" si="41"/>
        <v>97.755960729312761</v>
      </c>
      <c r="BX19" s="30">
        <v>0</v>
      </c>
      <c r="BY19" s="31">
        <f t="shared" si="42"/>
        <v>0</v>
      </c>
      <c r="BZ19" s="32">
        <v>16</v>
      </c>
      <c r="CA19" s="34">
        <f t="shared" si="43"/>
        <v>2.244039270687237</v>
      </c>
      <c r="CB19" s="29">
        <v>757</v>
      </c>
      <c r="CC19" s="30">
        <f t="shared" si="44"/>
        <v>743</v>
      </c>
      <c r="CD19" s="31">
        <f t="shared" si="45"/>
        <v>98.150594451783348</v>
      </c>
      <c r="CE19" s="30">
        <v>0</v>
      </c>
      <c r="CF19" s="31">
        <f t="shared" si="46"/>
        <v>0</v>
      </c>
      <c r="CG19" s="32">
        <v>14</v>
      </c>
      <c r="CH19" s="34">
        <f t="shared" si="47"/>
        <v>1.8494055482166447</v>
      </c>
      <c r="CI19" s="29">
        <v>750</v>
      </c>
      <c r="CJ19" s="30">
        <f t="shared" si="48"/>
        <v>738</v>
      </c>
      <c r="CK19" s="31">
        <f t="shared" si="49"/>
        <v>98.4</v>
      </c>
      <c r="CL19" s="30">
        <v>0</v>
      </c>
      <c r="CM19" s="31">
        <f t="shared" si="50"/>
        <v>0</v>
      </c>
      <c r="CN19" s="32">
        <v>12</v>
      </c>
      <c r="CO19" s="34">
        <f t="shared" si="51"/>
        <v>1.6</v>
      </c>
      <c r="CP19" s="29">
        <v>800</v>
      </c>
      <c r="CQ19" s="30">
        <f t="shared" si="52"/>
        <v>786</v>
      </c>
      <c r="CR19" s="31">
        <f t="shared" si="53"/>
        <v>98.25</v>
      </c>
      <c r="CS19" s="30">
        <v>0</v>
      </c>
      <c r="CT19" s="31">
        <f t="shared" si="54"/>
        <v>0</v>
      </c>
      <c r="CU19" s="32">
        <v>14</v>
      </c>
      <c r="CV19" s="34">
        <f t="shared" si="55"/>
        <v>1.75</v>
      </c>
      <c r="CW19" s="29">
        <v>813</v>
      </c>
      <c r="CX19" s="30">
        <f t="shared" si="56"/>
        <v>797</v>
      </c>
      <c r="CY19" s="31">
        <f t="shared" si="57"/>
        <v>98.031980319803196</v>
      </c>
      <c r="CZ19" s="30">
        <v>0</v>
      </c>
      <c r="DA19" s="31">
        <f t="shared" si="58"/>
        <v>0</v>
      </c>
      <c r="DB19" s="32">
        <v>16</v>
      </c>
      <c r="DC19" s="34">
        <f t="shared" si="59"/>
        <v>1.968019680196802</v>
      </c>
      <c r="DD19" s="29">
        <v>796</v>
      </c>
      <c r="DE19" s="30">
        <f t="shared" si="60"/>
        <v>781</v>
      </c>
      <c r="DF19" s="31">
        <f t="shared" si="61"/>
        <v>98.115577889447238</v>
      </c>
      <c r="DG19" s="30">
        <v>0</v>
      </c>
      <c r="DH19" s="31">
        <f t="shared" si="62"/>
        <v>0</v>
      </c>
      <c r="DI19" s="32">
        <v>15</v>
      </c>
      <c r="DJ19" s="34">
        <f t="shared" si="63"/>
        <v>1.8844221105527639</v>
      </c>
    </row>
    <row r="20" spans="1:114" ht="26.4" customHeight="1" thickBot="1" x14ac:dyDescent="0.3">
      <c r="A20" s="36">
        <f t="shared" si="64"/>
        <v>11</v>
      </c>
      <c r="B20" s="37" t="s">
        <v>21</v>
      </c>
      <c r="C20" s="38">
        <v>964</v>
      </c>
      <c r="D20" s="39">
        <f t="shared" si="0"/>
        <v>912</v>
      </c>
      <c r="E20" s="40">
        <f t="shared" si="1"/>
        <v>94.60580912863071</v>
      </c>
      <c r="F20" s="39">
        <v>15</v>
      </c>
      <c r="G20" s="40">
        <f t="shared" si="2"/>
        <v>1.5560165975103735</v>
      </c>
      <c r="H20" s="41">
        <v>37</v>
      </c>
      <c r="I20" s="42">
        <f t="shared" si="3"/>
        <v>3.8381742738589213</v>
      </c>
      <c r="J20" s="38">
        <v>957</v>
      </c>
      <c r="K20" s="39" t="e">
        <f t="shared" si="4"/>
        <v>#REF!</v>
      </c>
      <c r="L20" s="40" t="e">
        <f t="shared" si="5"/>
        <v>#REF!</v>
      </c>
      <c r="M20" s="39" t="e">
        <f>Sek_2!#REF!</f>
        <v>#REF!</v>
      </c>
      <c r="N20" s="40" t="e">
        <f t="shared" si="6"/>
        <v>#REF!</v>
      </c>
      <c r="O20" s="41">
        <v>37</v>
      </c>
      <c r="P20" s="42">
        <f t="shared" si="7"/>
        <v>3.8662486938349008</v>
      </c>
      <c r="Q20" s="38">
        <v>941</v>
      </c>
      <c r="R20" s="39">
        <f t="shared" si="8"/>
        <v>887</v>
      </c>
      <c r="S20" s="40">
        <f t="shared" si="9"/>
        <v>94.261424017003193</v>
      </c>
      <c r="T20" s="39">
        <v>21</v>
      </c>
      <c r="U20" s="40">
        <f t="shared" si="10"/>
        <v>2.2316684378320937</v>
      </c>
      <c r="V20" s="41">
        <v>33</v>
      </c>
      <c r="W20" s="42">
        <f t="shared" si="11"/>
        <v>3.5069075451647183</v>
      </c>
      <c r="X20" s="38">
        <v>892</v>
      </c>
      <c r="Y20" s="39">
        <f t="shared" si="12"/>
        <v>824</v>
      </c>
      <c r="Z20" s="40">
        <f t="shared" si="13"/>
        <v>92.376681614349778</v>
      </c>
      <c r="AA20" s="39">
        <v>30</v>
      </c>
      <c r="AB20" s="40">
        <f t="shared" si="14"/>
        <v>3.3632286995515694</v>
      </c>
      <c r="AC20" s="41">
        <v>38</v>
      </c>
      <c r="AD20" s="42">
        <f t="shared" si="15"/>
        <v>4.260089686098655</v>
      </c>
      <c r="AE20" s="38">
        <v>901</v>
      </c>
      <c r="AF20" s="39">
        <f t="shared" si="16"/>
        <v>830</v>
      </c>
      <c r="AG20" s="40">
        <f t="shared" si="17"/>
        <v>92.119866814650393</v>
      </c>
      <c r="AH20" s="39">
        <v>30</v>
      </c>
      <c r="AI20" s="40">
        <f t="shared" si="18"/>
        <v>3.3296337402885681</v>
      </c>
      <c r="AJ20" s="41">
        <v>41</v>
      </c>
      <c r="AK20" s="42">
        <f t="shared" si="19"/>
        <v>4.5504994450610434</v>
      </c>
      <c r="AL20" s="38">
        <v>898</v>
      </c>
      <c r="AM20" s="39">
        <f t="shared" si="20"/>
        <v>824</v>
      </c>
      <c r="AN20" s="40">
        <f t="shared" si="21"/>
        <v>91.759465478841875</v>
      </c>
      <c r="AO20" s="39">
        <v>31</v>
      </c>
      <c r="AP20" s="40">
        <f t="shared" si="22"/>
        <v>3.4521158129175946</v>
      </c>
      <c r="AQ20" s="41">
        <v>43</v>
      </c>
      <c r="AR20" s="42">
        <f t="shared" si="23"/>
        <v>4.7884187082405347</v>
      </c>
      <c r="AS20" s="38">
        <v>880</v>
      </c>
      <c r="AT20" s="39">
        <f t="shared" si="24"/>
        <v>812</v>
      </c>
      <c r="AU20" s="40">
        <f t="shared" si="25"/>
        <v>92.272727272727266</v>
      </c>
      <c r="AV20" s="39">
        <v>28</v>
      </c>
      <c r="AW20" s="40">
        <f t="shared" si="26"/>
        <v>3.1818181818181817</v>
      </c>
      <c r="AX20" s="41">
        <v>40</v>
      </c>
      <c r="AY20" s="42">
        <f t="shared" si="27"/>
        <v>4.5454545454545459</v>
      </c>
      <c r="AZ20" s="38">
        <v>867</v>
      </c>
      <c r="BA20" s="39">
        <f t="shared" si="28"/>
        <v>801</v>
      </c>
      <c r="BB20" s="40">
        <f t="shared" si="29"/>
        <v>92.387543252595151</v>
      </c>
      <c r="BC20" s="39">
        <v>22</v>
      </c>
      <c r="BD20" s="40">
        <f t="shared" si="30"/>
        <v>2.5374855824682814</v>
      </c>
      <c r="BE20" s="41">
        <v>44</v>
      </c>
      <c r="BF20" s="43">
        <f t="shared" si="31"/>
        <v>5.0749711649365628</v>
      </c>
      <c r="BG20" s="38">
        <v>906</v>
      </c>
      <c r="BH20" s="39">
        <f t="shared" si="32"/>
        <v>847</v>
      </c>
      <c r="BI20" s="40">
        <f t="shared" si="33"/>
        <v>93.487858719646795</v>
      </c>
      <c r="BJ20" s="39">
        <v>18</v>
      </c>
      <c r="BK20" s="40">
        <f t="shared" si="34"/>
        <v>1.9867549668874172</v>
      </c>
      <c r="BL20" s="41">
        <v>41</v>
      </c>
      <c r="BM20" s="43">
        <f t="shared" si="35"/>
        <v>4.5253863134657832</v>
      </c>
      <c r="BN20" s="38">
        <v>926</v>
      </c>
      <c r="BO20" s="39">
        <f t="shared" si="36"/>
        <v>881</v>
      </c>
      <c r="BP20" s="40">
        <f t="shared" si="37"/>
        <v>95.14038876889849</v>
      </c>
      <c r="BQ20" s="39">
        <v>15</v>
      </c>
      <c r="BR20" s="40">
        <f t="shared" si="38"/>
        <v>1.6198704103671706</v>
      </c>
      <c r="BS20" s="41">
        <v>30</v>
      </c>
      <c r="BT20" s="43">
        <f t="shared" si="39"/>
        <v>3.2397408207343412</v>
      </c>
      <c r="BU20" s="38">
        <v>917</v>
      </c>
      <c r="BV20" s="39">
        <f t="shared" si="40"/>
        <v>881</v>
      </c>
      <c r="BW20" s="40">
        <f t="shared" si="41"/>
        <v>96.074154852780808</v>
      </c>
      <c r="BX20" s="39">
        <v>9</v>
      </c>
      <c r="BY20" s="40">
        <f t="shared" si="42"/>
        <v>0.98146128680479827</v>
      </c>
      <c r="BZ20" s="41">
        <v>27</v>
      </c>
      <c r="CA20" s="43">
        <f t="shared" si="43"/>
        <v>2.9443838604143946</v>
      </c>
      <c r="CB20" s="38">
        <v>947</v>
      </c>
      <c r="CC20" s="39">
        <f t="shared" si="44"/>
        <v>899</v>
      </c>
      <c r="CD20" s="40">
        <f t="shared" si="45"/>
        <v>94.931362196409708</v>
      </c>
      <c r="CE20" s="39">
        <v>19</v>
      </c>
      <c r="CF20" s="40">
        <f t="shared" si="46"/>
        <v>2.0063357972544877</v>
      </c>
      <c r="CG20" s="41">
        <v>29</v>
      </c>
      <c r="CH20" s="43">
        <f t="shared" si="47"/>
        <v>3.0623020063357971</v>
      </c>
      <c r="CI20" s="38">
        <v>956</v>
      </c>
      <c r="CJ20" s="39">
        <f t="shared" si="48"/>
        <v>914</v>
      </c>
      <c r="CK20" s="40">
        <f t="shared" si="49"/>
        <v>95.606694560669453</v>
      </c>
      <c r="CL20" s="39">
        <v>17</v>
      </c>
      <c r="CM20" s="40">
        <f t="shared" si="50"/>
        <v>1.7782426778242677</v>
      </c>
      <c r="CN20" s="41">
        <v>25</v>
      </c>
      <c r="CO20" s="43">
        <f t="shared" si="51"/>
        <v>2.6150627615062763</v>
      </c>
      <c r="CP20" s="38">
        <v>970</v>
      </c>
      <c r="CQ20" s="39">
        <f t="shared" si="52"/>
        <v>933</v>
      </c>
      <c r="CR20" s="40">
        <f t="shared" si="53"/>
        <v>96.185567010309285</v>
      </c>
      <c r="CS20" s="39">
        <v>13</v>
      </c>
      <c r="CT20" s="40">
        <f t="shared" si="54"/>
        <v>1.3402061855670102</v>
      </c>
      <c r="CU20" s="41">
        <v>24</v>
      </c>
      <c r="CV20" s="43">
        <f t="shared" si="55"/>
        <v>2.4742268041237114</v>
      </c>
      <c r="CW20" s="38">
        <v>984</v>
      </c>
      <c r="CX20" s="39">
        <f t="shared" si="56"/>
        <v>949</v>
      </c>
      <c r="CY20" s="40">
        <f t="shared" si="57"/>
        <v>96.443089430894304</v>
      </c>
      <c r="CZ20" s="39">
        <v>11</v>
      </c>
      <c r="DA20" s="40">
        <f t="shared" si="58"/>
        <v>1.1178861788617886</v>
      </c>
      <c r="DB20" s="41">
        <v>24</v>
      </c>
      <c r="DC20" s="43">
        <f t="shared" si="59"/>
        <v>2.4390243902439024</v>
      </c>
      <c r="DD20" s="38">
        <v>946</v>
      </c>
      <c r="DE20" s="39">
        <f t="shared" si="60"/>
        <v>920</v>
      </c>
      <c r="DF20" s="40">
        <f t="shared" si="61"/>
        <v>97.25158562367865</v>
      </c>
      <c r="DG20" s="39">
        <v>9</v>
      </c>
      <c r="DH20" s="40">
        <f t="shared" si="62"/>
        <v>0.95137420718816068</v>
      </c>
      <c r="DI20" s="41">
        <v>17</v>
      </c>
      <c r="DJ20" s="43">
        <f t="shared" si="63"/>
        <v>1.7970401691331923</v>
      </c>
    </row>
    <row r="21" spans="1:114" s="6" customFormat="1" ht="26.4" customHeight="1" thickBot="1" x14ac:dyDescent="0.3">
      <c r="A21" s="459" t="s">
        <v>36</v>
      </c>
      <c r="B21" s="460"/>
      <c r="C21" s="44">
        <f t="shared" ref="C21:H21" si="65">SUM(C10:C20)</f>
        <v>7920</v>
      </c>
      <c r="D21" s="45">
        <f t="shared" si="0"/>
        <v>7597</v>
      </c>
      <c r="E21" s="46">
        <f t="shared" si="1"/>
        <v>95.921717171717177</v>
      </c>
      <c r="F21" s="45">
        <f t="shared" si="65"/>
        <v>86</v>
      </c>
      <c r="G21" s="46">
        <f t="shared" si="2"/>
        <v>1.0858585858585859</v>
      </c>
      <c r="H21" s="45">
        <f t="shared" si="65"/>
        <v>237</v>
      </c>
      <c r="I21" s="47">
        <f t="shared" si="3"/>
        <v>2.9924242424242422</v>
      </c>
      <c r="J21" s="44">
        <f>SUM(J10:J20)</f>
        <v>7901</v>
      </c>
      <c r="K21" s="45" t="e">
        <f t="shared" si="4"/>
        <v>#REF!</v>
      </c>
      <c r="L21" s="46" t="e">
        <f t="shared" si="5"/>
        <v>#REF!</v>
      </c>
      <c r="M21" s="45" t="e">
        <f>SUM(M10:M20)</f>
        <v>#REF!</v>
      </c>
      <c r="N21" s="46" t="e">
        <f t="shared" si="6"/>
        <v>#REF!</v>
      </c>
      <c r="O21" s="45">
        <f>SUM(O10:O20)</f>
        <v>225</v>
      </c>
      <c r="P21" s="47">
        <f t="shared" si="7"/>
        <v>2.8477407923047715</v>
      </c>
      <c r="Q21" s="44">
        <f>SUM(Q10:Q20)</f>
        <v>7954</v>
      </c>
      <c r="R21" s="45">
        <f t="shared" si="8"/>
        <v>7583</v>
      </c>
      <c r="S21" s="46">
        <f t="shared" si="9"/>
        <v>95.335680160925321</v>
      </c>
      <c r="T21" s="45">
        <f>SUM(T10:T20)</f>
        <v>132</v>
      </c>
      <c r="U21" s="46">
        <f t="shared" si="10"/>
        <v>1.6595423686195625</v>
      </c>
      <c r="V21" s="45">
        <f>SUM(V10:V20)</f>
        <v>239</v>
      </c>
      <c r="W21" s="47">
        <f t="shared" si="11"/>
        <v>3.0047774704551169</v>
      </c>
      <c r="X21" s="44">
        <f>SUM(X10:X20)</f>
        <v>8336</v>
      </c>
      <c r="Y21" s="45">
        <f t="shared" si="12"/>
        <v>7900</v>
      </c>
      <c r="Z21" s="46">
        <f t="shared" si="13"/>
        <v>94.769673704414586</v>
      </c>
      <c r="AA21" s="45">
        <f>SUM(AA10:AA20)</f>
        <v>124</v>
      </c>
      <c r="AB21" s="46">
        <f t="shared" si="14"/>
        <v>1.4875239923224568</v>
      </c>
      <c r="AC21" s="45">
        <f>SUM(AC10:AC20)</f>
        <v>312</v>
      </c>
      <c r="AD21" s="47">
        <f t="shared" si="15"/>
        <v>3.7428023032629558</v>
      </c>
      <c r="AE21" s="44">
        <f>SUM(AE10:AE20)</f>
        <v>8443</v>
      </c>
      <c r="AF21" s="45">
        <f t="shared" si="16"/>
        <v>7978</v>
      </c>
      <c r="AG21" s="46">
        <f t="shared" si="17"/>
        <v>94.492478976667059</v>
      </c>
      <c r="AH21" s="45">
        <f>SUM(AH10:AH20)</f>
        <v>145</v>
      </c>
      <c r="AI21" s="46">
        <f t="shared" si="18"/>
        <v>1.7173990287812388</v>
      </c>
      <c r="AJ21" s="45">
        <f>SUM(AJ10:AJ20)</f>
        <v>320</v>
      </c>
      <c r="AK21" s="47">
        <f t="shared" si="19"/>
        <v>3.7901219945516997</v>
      </c>
      <c r="AL21" s="44">
        <f>SUM(AL10:AL20)</f>
        <v>8583</v>
      </c>
      <c r="AM21" s="45">
        <f t="shared" si="20"/>
        <v>8147</v>
      </c>
      <c r="AN21" s="46">
        <f t="shared" si="21"/>
        <v>94.920191075381567</v>
      </c>
      <c r="AO21" s="45">
        <f>SUM(AO10:AO20)</f>
        <v>100</v>
      </c>
      <c r="AP21" s="46">
        <f t="shared" si="22"/>
        <v>1.1650937900500991</v>
      </c>
      <c r="AQ21" s="45">
        <f>SUM(AQ10:AQ20)</f>
        <v>336</v>
      </c>
      <c r="AR21" s="47">
        <f t="shared" si="23"/>
        <v>3.9147151345683326</v>
      </c>
      <c r="AS21" s="44">
        <f>SUM(AS10:AS20)</f>
        <v>8732</v>
      </c>
      <c r="AT21" s="45">
        <f t="shared" si="24"/>
        <v>8295</v>
      </c>
      <c r="AU21" s="46">
        <f t="shared" si="25"/>
        <v>94.995419147961528</v>
      </c>
      <c r="AV21" s="45">
        <f>SUM(AV10:AV20)</f>
        <v>88</v>
      </c>
      <c r="AW21" s="46">
        <f t="shared" si="26"/>
        <v>1.0077874484654146</v>
      </c>
      <c r="AX21" s="45">
        <f>SUM(AX10:AX20)</f>
        <v>349</v>
      </c>
      <c r="AY21" s="47">
        <f t="shared" si="27"/>
        <v>3.9967934035730646</v>
      </c>
      <c r="AZ21" s="44">
        <f>SUM(AZ10:AZ20)</f>
        <v>9041</v>
      </c>
      <c r="BA21" s="45">
        <f t="shared" si="28"/>
        <v>8605</v>
      </c>
      <c r="BB21" s="46">
        <f t="shared" si="29"/>
        <v>95.177524610109501</v>
      </c>
      <c r="BC21" s="45">
        <f>SUM(BC10:BC20)</f>
        <v>88</v>
      </c>
      <c r="BD21" s="46">
        <f t="shared" si="30"/>
        <v>0.97334365667514655</v>
      </c>
      <c r="BE21" s="45">
        <f>SUM(BE10:BE20)</f>
        <v>348</v>
      </c>
      <c r="BF21" s="48">
        <f t="shared" si="31"/>
        <v>3.8491317332153523</v>
      </c>
      <c r="BG21" s="44">
        <f>SUM(BG10:BG20)</f>
        <v>9335</v>
      </c>
      <c r="BH21" s="45">
        <f t="shared" si="32"/>
        <v>8929</v>
      </c>
      <c r="BI21" s="46">
        <f t="shared" si="33"/>
        <v>95.650776647027314</v>
      </c>
      <c r="BJ21" s="45">
        <f>SUM(BJ10:BJ20)</f>
        <v>75</v>
      </c>
      <c r="BK21" s="46">
        <f t="shared" si="34"/>
        <v>0.80342795929298338</v>
      </c>
      <c r="BL21" s="45">
        <f>SUM(BL10:BL20)</f>
        <v>331</v>
      </c>
      <c r="BM21" s="48">
        <f t="shared" si="35"/>
        <v>3.5457953936797</v>
      </c>
      <c r="BN21" s="44">
        <f>SUM(BN10:BN20)</f>
        <v>9605</v>
      </c>
      <c r="BO21" s="45">
        <f t="shared" si="36"/>
        <v>9228</v>
      </c>
      <c r="BP21" s="46">
        <f t="shared" si="37"/>
        <v>96.074960957834463</v>
      </c>
      <c r="BQ21" s="45">
        <f>SUM(BQ10:BQ20)</f>
        <v>65</v>
      </c>
      <c r="BR21" s="46">
        <f t="shared" si="38"/>
        <v>0.67673086933888604</v>
      </c>
      <c r="BS21" s="45">
        <f>SUM(BS10:BS20)</f>
        <v>312</v>
      </c>
      <c r="BT21" s="48">
        <f t="shared" si="39"/>
        <v>3.2483081728266527</v>
      </c>
      <c r="BU21" s="44">
        <f>SUM(BU10:BU20)</f>
        <v>9823</v>
      </c>
      <c r="BV21" s="45">
        <f t="shared" si="40"/>
        <v>9452</v>
      </c>
      <c r="BW21" s="46">
        <f t="shared" si="41"/>
        <v>96.223149750585364</v>
      </c>
      <c r="BX21" s="45">
        <f>SUM(BX10:BX20)</f>
        <v>59</v>
      </c>
      <c r="BY21" s="46">
        <f t="shared" si="42"/>
        <v>0.60063117173979441</v>
      </c>
      <c r="BZ21" s="45">
        <f>SUM(BZ10:BZ20)</f>
        <v>312</v>
      </c>
      <c r="CA21" s="48">
        <f t="shared" si="43"/>
        <v>3.1762190776748449</v>
      </c>
      <c r="CB21" s="44">
        <f>SUM(CB10:CB20)</f>
        <v>10095</v>
      </c>
      <c r="CC21" s="45">
        <f t="shared" si="44"/>
        <v>9734</v>
      </c>
      <c r="CD21" s="46">
        <f t="shared" si="45"/>
        <v>96.423972263496779</v>
      </c>
      <c r="CE21" s="45">
        <f>SUM(CE10:CE20)</f>
        <v>62</v>
      </c>
      <c r="CF21" s="46">
        <f t="shared" si="46"/>
        <v>0.61416542842991584</v>
      </c>
      <c r="CG21" s="45">
        <f>SUM(CG10:CG20)</f>
        <v>299</v>
      </c>
      <c r="CH21" s="48">
        <f t="shared" si="47"/>
        <v>2.9618623080733038</v>
      </c>
      <c r="CI21" s="44">
        <f>SUM(CI10:CI20)</f>
        <v>10299</v>
      </c>
      <c r="CJ21" s="45">
        <f t="shared" si="48"/>
        <v>9924</v>
      </c>
      <c r="CK21" s="46">
        <f t="shared" si="49"/>
        <v>96.3588697931838</v>
      </c>
      <c r="CL21" s="45">
        <f>SUM(CL10:CL20)</f>
        <v>73</v>
      </c>
      <c r="CM21" s="46">
        <f t="shared" si="50"/>
        <v>0.70880668026021942</v>
      </c>
      <c r="CN21" s="45">
        <f>SUM(CN10:CN20)</f>
        <v>302</v>
      </c>
      <c r="CO21" s="48">
        <f t="shared" si="51"/>
        <v>2.9323235265559764</v>
      </c>
      <c r="CP21" s="44">
        <f>SUM(CP10:CP20)</f>
        <v>10544</v>
      </c>
      <c r="CQ21" s="45">
        <f t="shared" si="52"/>
        <v>10197</v>
      </c>
      <c r="CR21" s="46">
        <f t="shared" si="53"/>
        <v>96.709028831562975</v>
      </c>
      <c r="CS21" s="45">
        <f>SUM(CS10:CS20)</f>
        <v>40</v>
      </c>
      <c r="CT21" s="46">
        <f t="shared" si="54"/>
        <v>0.37936267071320184</v>
      </c>
      <c r="CU21" s="45">
        <f>SUM(CU10:CU20)</f>
        <v>307</v>
      </c>
      <c r="CV21" s="48">
        <f t="shared" si="55"/>
        <v>2.9116084977238241</v>
      </c>
      <c r="CW21" s="44">
        <f>SUM(CW10:CW20)</f>
        <v>10584</v>
      </c>
      <c r="CX21" s="45">
        <f t="shared" si="56"/>
        <v>10235</v>
      </c>
      <c r="CY21" s="46">
        <f t="shared" si="57"/>
        <v>96.702569916855637</v>
      </c>
      <c r="CZ21" s="45">
        <f>SUM(CZ10:CZ20)</f>
        <v>43</v>
      </c>
      <c r="DA21" s="46">
        <f t="shared" si="58"/>
        <v>0.40627362055933486</v>
      </c>
      <c r="DB21" s="45">
        <f>SUM(DB10:DB20)</f>
        <v>306</v>
      </c>
      <c r="DC21" s="48">
        <f t="shared" si="59"/>
        <v>2.8911564625850339</v>
      </c>
      <c r="DD21" s="44">
        <f>SUM(DD10:DD20)</f>
        <v>9890</v>
      </c>
      <c r="DE21" s="45">
        <f t="shared" si="60"/>
        <v>9566</v>
      </c>
      <c r="DF21" s="46">
        <f t="shared" si="61"/>
        <v>96.72396359959555</v>
      </c>
      <c r="DG21" s="45">
        <f>SUM(DG10:DG20)</f>
        <v>43</v>
      </c>
      <c r="DH21" s="46">
        <f t="shared" si="62"/>
        <v>0.43478260869565216</v>
      </c>
      <c r="DI21" s="45">
        <f>SUM(DI10:DI20)</f>
        <v>281</v>
      </c>
      <c r="DJ21" s="48">
        <f t="shared" si="63"/>
        <v>2.8412537917087968</v>
      </c>
    </row>
    <row r="22" spans="1:114" ht="26.4" customHeight="1" x14ac:dyDescent="0.25">
      <c r="A22" s="19">
        <v>12</v>
      </c>
      <c r="B22" s="49" t="s">
        <v>31</v>
      </c>
      <c r="C22" s="50">
        <v>903</v>
      </c>
      <c r="D22" s="51">
        <f t="shared" si="0"/>
        <v>889</v>
      </c>
      <c r="E22" s="52">
        <f t="shared" si="1"/>
        <v>98.449612403100772</v>
      </c>
      <c r="F22" s="51">
        <v>0</v>
      </c>
      <c r="G22" s="52">
        <f t="shared" si="2"/>
        <v>0</v>
      </c>
      <c r="H22" s="51">
        <v>14</v>
      </c>
      <c r="I22" s="53">
        <f t="shared" si="3"/>
        <v>1.5503875968992249</v>
      </c>
      <c r="J22" s="50">
        <v>894</v>
      </c>
      <c r="K22" s="51">
        <f t="shared" si="4"/>
        <v>884</v>
      </c>
      <c r="L22" s="52">
        <f t="shared" si="5"/>
        <v>98.881431767337801</v>
      </c>
      <c r="M22" s="51">
        <v>1</v>
      </c>
      <c r="N22" s="52">
        <f t="shared" si="6"/>
        <v>0.11185682326621924</v>
      </c>
      <c r="O22" s="51">
        <v>9</v>
      </c>
      <c r="P22" s="53">
        <f t="shared" si="7"/>
        <v>1.0067114093959733</v>
      </c>
      <c r="Q22" s="50">
        <v>910</v>
      </c>
      <c r="R22" s="51">
        <f t="shared" si="8"/>
        <v>901</v>
      </c>
      <c r="S22" s="52">
        <f t="shared" si="9"/>
        <v>99.010989010989007</v>
      </c>
      <c r="T22" s="51">
        <v>0</v>
      </c>
      <c r="U22" s="52">
        <f t="shared" si="10"/>
        <v>0</v>
      </c>
      <c r="V22" s="51">
        <v>9</v>
      </c>
      <c r="W22" s="53">
        <f t="shared" si="11"/>
        <v>0.98901098901098905</v>
      </c>
      <c r="X22" s="50">
        <v>804</v>
      </c>
      <c r="Y22" s="51">
        <f t="shared" si="12"/>
        <v>800</v>
      </c>
      <c r="Z22" s="52">
        <f t="shared" si="13"/>
        <v>99.50248756218906</v>
      </c>
      <c r="AA22" s="51">
        <v>0</v>
      </c>
      <c r="AB22" s="52">
        <f t="shared" si="14"/>
        <v>0</v>
      </c>
      <c r="AC22" s="51">
        <v>4</v>
      </c>
      <c r="AD22" s="53">
        <f t="shared" si="15"/>
        <v>0.49751243781094528</v>
      </c>
      <c r="AE22" s="50">
        <v>805</v>
      </c>
      <c r="AF22" s="51">
        <f t="shared" si="16"/>
        <v>800</v>
      </c>
      <c r="AG22" s="52">
        <f t="shared" si="17"/>
        <v>99.378881987577643</v>
      </c>
      <c r="AH22" s="51">
        <v>0</v>
      </c>
      <c r="AI22" s="52">
        <f t="shared" si="18"/>
        <v>0</v>
      </c>
      <c r="AJ22" s="51">
        <v>5</v>
      </c>
      <c r="AK22" s="53">
        <f t="shared" si="19"/>
        <v>0.6211180124223602</v>
      </c>
      <c r="AL22" s="50">
        <v>826</v>
      </c>
      <c r="AM22" s="51">
        <f t="shared" si="20"/>
        <v>820</v>
      </c>
      <c r="AN22" s="52">
        <f t="shared" si="21"/>
        <v>99.27360774818402</v>
      </c>
      <c r="AO22" s="51">
        <v>0</v>
      </c>
      <c r="AP22" s="52">
        <f t="shared" si="22"/>
        <v>0</v>
      </c>
      <c r="AQ22" s="51">
        <v>6</v>
      </c>
      <c r="AR22" s="53">
        <f t="shared" si="23"/>
        <v>0.72639225181598066</v>
      </c>
      <c r="AS22" s="50">
        <v>842</v>
      </c>
      <c r="AT22" s="51">
        <f t="shared" si="24"/>
        <v>833</v>
      </c>
      <c r="AU22" s="52">
        <f t="shared" si="25"/>
        <v>98.931116389548691</v>
      </c>
      <c r="AV22" s="51">
        <v>0</v>
      </c>
      <c r="AW22" s="52">
        <f t="shared" si="26"/>
        <v>0</v>
      </c>
      <c r="AX22" s="51">
        <v>9</v>
      </c>
      <c r="AY22" s="53">
        <f t="shared" si="27"/>
        <v>1.0688836104513064</v>
      </c>
      <c r="AZ22" s="50">
        <v>838</v>
      </c>
      <c r="BA22" s="51">
        <f t="shared" si="28"/>
        <v>827</v>
      </c>
      <c r="BB22" s="52">
        <f t="shared" si="29"/>
        <v>98.687350835322192</v>
      </c>
      <c r="BC22" s="51">
        <v>0</v>
      </c>
      <c r="BD22" s="52">
        <f t="shared" si="30"/>
        <v>0</v>
      </c>
      <c r="BE22" s="51">
        <v>11</v>
      </c>
      <c r="BF22" s="54">
        <f t="shared" si="31"/>
        <v>1.3126491646778042</v>
      </c>
      <c r="BG22" s="50">
        <v>861</v>
      </c>
      <c r="BH22" s="51">
        <f t="shared" si="32"/>
        <v>848</v>
      </c>
      <c r="BI22" s="52">
        <f t="shared" si="33"/>
        <v>98.490127758420442</v>
      </c>
      <c r="BJ22" s="51">
        <v>0</v>
      </c>
      <c r="BK22" s="52">
        <f t="shared" si="34"/>
        <v>0</v>
      </c>
      <c r="BL22" s="51">
        <v>13</v>
      </c>
      <c r="BM22" s="54">
        <v>17</v>
      </c>
      <c r="BN22" s="50">
        <v>892</v>
      </c>
      <c r="BO22" s="51">
        <f t="shared" si="36"/>
        <v>882</v>
      </c>
      <c r="BP22" s="52">
        <f t="shared" si="37"/>
        <v>98.878923766816143</v>
      </c>
      <c r="BQ22" s="51">
        <v>0</v>
      </c>
      <c r="BR22" s="52">
        <f t="shared" si="38"/>
        <v>0</v>
      </c>
      <c r="BS22" s="51">
        <v>10</v>
      </c>
      <c r="BT22" s="54">
        <v>17</v>
      </c>
      <c r="BU22" s="50">
        <v>877</v>
      </c>
      <c r="BV22" s="51">
        <f t="shared" si="40"/>
        <v>873</v>
      </c>
      <c r="BW22" s="52">
        <f t="shared" si="41"/>
        <v>99.54389965792474</v>
      </c>
      <c r="BX22" s="51">
        <v>0</v>
      </c>
      <c r="BY22" s="52">
        <f t="shared" si="42"/>
        <v>0</v>
      </c>
      <c r="BZ22" s="51">
        <v>4</v>
      </c>
      <c r="CA22" s="54">
        <v>17</v>
      </c>
      <c r="CB22" s="50">
        <v>870</v>
      </c>
      <c r="CC22" s="51">
        <f t="shared" si="44"/>
        <v>866</v>
      </c>
      <c r="CD22" s="52">
        <f t="shared" si="45"/>
        <v>99.540229885057471</v>
      </c>
      <c r="CE22" s="51">
        <v>0</v>
      </c>
      <c r="CF22" s="52">
        <f t="shared" si="46"/>
        <v>0</v>
      </c>
      <c r="CG22" s="51">
        <v>4</v>
      </c>
      <c r="CH22" s="54">
        <v>17</v>
      </c>
      <c r="CI22" s="50">
        <v>870</v>
      </c>
      <c r="CJ22" s="51">
        <f t="shared" si="48"/>
        <v>866</v>
      </c>
      <c r="CK22" s="52">
        <f t="shared" si="49"/>
        <v>99.540229885057471</v>
      </c>
      <c r="CL22" s="51">
        <v>0</v>
      </c>
      <c r="CM22" s="52">
        <f t="shared" si="50"/>
        <v>0</v>
      </c>
      <c r="CN22" s="51">
        <v>4</v>
      </c>
      <c r="CO22" s="54">
        <v>17</v>
      </c>
      <c r="CP22" s="50">
        <v>866</v>
      </c>
      <c r="CQ22" s="51">
        <f t="shared" si="52"/>
        <v>864</v>
      </c>
      <c r="CR22" s="52">
        <f t="shared" si="53"/>
        <v>99.769053117782903</v>
      </c>
      <c r="CS22" s="51">
        <v>0</v>
      </c>
      <c r="CT22" s="52">
        <f t="shared" si="54"/>
        <v>0</v>
      </c>
      <c r="CU22" s="51">
        <v>2</v>
      </c>
      <c r="CV22" s="54">
        <v>17</v>
      </c>
      <c r="CW22" s="50">
        <v>840</v>
      </c>
      <c r="CX22" s="51">
        <f t="shared" si="56"/>
        <v>836</v>
      </c>
      <c r="CY22" s="52">
        <f t="shared" si="57"/>
        <v>99.523809523809518</v>
      </c>
      <c r="CZ22" s="51">
        <v>0</v>
      </c>
      <c r="DA22" s="52">
        <f t="shared" si="58"/>
        <v>0</v>
      </c>
      <c r="DB22" s="51">
        <v>4</v>
      </c>
      <c r="DC22" s="54">
        <v>17</v>
      </c>
      <c r="DD22" s="50">
        <v>776</v>
      </c>
      <c r="DE22" s="51">
        <f t="shared" si="60"/>
        <v>770</v>
      </c>
      <c r="DF22" s="52">
        <f t="shared" si="61"/>
        <v>99.226804123711347</v>
      </c>
      <c r="DG22" s="51">
        <v>2</v>
      </c>
      <c r="DH22" s="52">
        <f t="shared" si="62"/>
        <v>0.25773195876288657</v>
      </c>
      <c r="DI22" s="51">
        <v>4</v>
      </c>
      <c r="DJ22" s="54">
        <v>17</v>
      </c>
    </row>
    <row r="23" spans="1:114" ht="26.4" customHeight="1" x14ac:dyDescent="0.25">
      <c r="A23" s="55">
        <v>13</v>
      </c>
      <c r="B23" s="56" t="s">
        <v>32</v>
      </c>
      <c r="C23" s="55">
        <v>838</v>
      </c>
      <c r="D23" s="57">
        <f t="shared" si="0"/>
        <v>820</v>
      </c>
      <c r="E23" s="58">
        <f t="shared" si="1"/>
        <v>97.85202863961814</v>
      </c>
      <c r="F23" s="57">
        <v>0</v>
      </c>
      <c r="G23" s="58">
        <f t="shared" si="2"/>
        <v>0</v>
      </c>
      <c r="H23" s="57">
        <v>18</v>
      </c>
      <c r="I23" s="59">
        <f t="shared" si="3"/>
        <v>2.1479713603818618</v>
      </c>
      <c r="J23" s="55">
        <v>833</v>
      </c>
      <c r="K23" s="57">
        <f t="shared" si="4"/>
        <v>821</v>
      </c>
      <c r="L23" s="58">
        <f t="shared" si="5"/>
        <v>98.559423769507802</v>
      </c>
      <c r="M23" s="57">
        <v>0</v>
      </c>
      <c r="N23" s="58">
        <f t="shared" si="6"/>
        <v>0</v>
      </c>
      <c r="O23" s="57">
        <v>12</v>
      </c>
      <c r="P23" s="59">
        <f t="shared" si="7"/>
        <v>1.440576230492197</v>
      </c>
      <c r="Q23" s="55">
        <v>863</v>
      </c>
      <c r="R23" s="57">
        <f t="shared" si="8"/>
        <v>856</v>
      </c>
      <c r="S23" s="58">
        <f t="shared" si="9"/>
        <v>99.188876013904988</v>
      </c>
      <c r="T23" s="57">
        <v>0</v>
      </c>
      <c r="U23" s="58">
        <f t="shared" si="10"/>
        <v>0</v>
      </c>
      <c r="V23" s="57">
        <v>7</v>
      </c>
      <c r="W23" s="59">
        <f t="shared" si="11"/>
        <v>0.81112398609501735</v>
      </c>
      <c r="X23" s="55">
        <v>950</v>
      </c>
      <c r="Y23" s="57">
        <f t="shared" si="12"/>
        <v>930</v>
      </c>
      <c r="Z23" s="58">
        <f t="shared" si="13"/>
        <v>97.89473684210526</v>
      </c>
      <c r="AA23" s="57">
        <v>0</v>
      </c>
      <c r="AB23" s="58">
        <f t="shared" si="14"/>
        <v>0</v>
      </c>
      <c r="AC23" s="57">
        <v>20</v>
      </c>
      <c r="AD23" s="59">
        <f t="shared" si="15"/>
        <v>2.1052631578947367</v>
      </c>
      <c r="AE23" s="55">
        <v>930</v>
      </c>
      <c r="AF23" s="57">
        <f t="shared" si="16"/>
        <v>912</v>
      </c>
      <c r="AG23" s="58">
        <f t="shared" si="17"/>
        <v>98.064516129032256</v>
      </c>
      <c r="AH23" s="57">
        <v>0</v>
      </c>
      <c r="AI23" s="58">
        <f t="shared" si="18"/>
        <v>0</v>
      </c>
      <c r="AJ23" s="57">
        <v>18</v>
      </c>
      <c r="AK23" s="59">
        <f t="shared" si="19"/>
        <v>1.935483870967742</v>
      </c>
      <c r="AL23" s="55">
        <v>988</v>
      </c>
      <c r="AM23" s="57">
        <f t="shared" si="20"/>
        <v>967</v>
      </c>
      <c r="AN23" s="58">
        <f t="shared" si="21"/>
        <v>97.874493927125499</v>
      </c>
      <c r="AO23" s="57">
        <v>0</v>
      </c>
      <c r="AP23" s="58">
        <f t="shared" si="22"/>
        <v>0</v>
      </c>
      <c r="AQ23" s="57">
        <v>21</v>
      </c>
      <c r="AR23" s="59">
        <f t="shared" si="23"/>
        <v>2.1255060728744941</v>
      </c>
      <c r="AS23" s="55">
        <v>948</v>
      </c>
      <c r="AT23" s="57">
        <f t="shared" si="24"/>
        <v>928</v>
      </c>
      <c r="AU23" s="58">
        <f t="shared" si="25"/>
        <v>97.890295358649794</v>
      </c>
      <c r="AV23" s="57">
        <v>0</v>
      </c>
      <c r="AW23" s="58">
        <f t="shared" si="26"/>
        <v>0</v>
      </c>
      <c r="AX23" s="57">
        <v>20</v>
      </c>
      <c r="AY23" s="59">
        <f t="shared" si="27"/>
        <v>2.109704641350211</v>
      </c>
      <c r="AZ23" s="55">
        <v>946</v>
      </c>
      <c r="BA23" s="57">
        <f t="shared" si="28"/>
        <v>928</v>
      </c>
      <c r="BB23" s="58">
        <f t="shared" si="29"/>
        <v>98.097251585623681</v>
      </c>
      <c r="BC23" s="57">
        <v>0</v>
      </c>
      <c r="BD23" s="58">
        <f t="shared" si="30"/>
        <v>0</v>
      </c>
      <c r="BE23" s="57">
        <v>18</v>
      </c>
      <c r="BF23" s="60">
        <f t="shared" si="31"/>
        <v>1.9027484143763214</v>
      </c>
      <c r="BG23" s="55">
        <v>929</v>
      </c>
      <c r="BH23" s="57">
        <f t="shared" si="32"/>
        <v>912</v>
      </c>
      <c r="BI23" s="58">
        <f t="shared" si="33"/>
        <v>98.170075349838541</v>
      </c>
      <c r="BJ23" s="57">
        <v>0</v>
      </c>
      <c r="BK23" s="58">
        <f t="shared" si="34"/>
        <v>0</v>
      </c>
      <c r="BL23" s="57">
        <v>17</v>
      </c>
      <c r="BM23" s="60">
        <v>21</v>
      </c>
      <c r="BN23" s="55">
        <v>957</v>
      </c>
      <c r="BO23" s="57">
        <f t="shared" si="36"/>
        <v>944</v>
      </c>
      <c r="BP23" s="58">
        <f t="shared" si="37"/>
        <v>98.641588296760716</v>
      </c>
      <c r="BQ23" s="57">
        <v>0</v>
      </c>
      <c r="BR23" s="58">
        <f t="shared" si="38"/>
        <v>0</v>
      </c>
      <c r="BS23" s="57">
        <v>13</v>
      </c>
      <c r="BT23" s="60">
        <v>21</v>
      </c>
      <c r="BU23" s="55">
        <v>974</v>
      </c>
      <c r="BV23" s="57">
        <f t="shared" si="40"/>
        <v>962</v>
      </c>
      <c r="BW23" s="58">
        <f t="shared" si="41"/>
        <v>98.76796714579055</v>
      </c>
      <c r="BX23" s="57">
        <v>0</v>
      </c>
      <c r="BY23" s="58">
        <f t="shared" si="42"/>
        <v>0</v>
      </c>
      <c r="BZ23" s="57">
        <v>12</v>
      </c>
      <c r="CA23" s="60">
        <v>21</v>
      </c>
      <c r="CB23" s="55">
        <v>991</v>
      </c>
      <c r="CC23" s="57">
        <f t="shared" si="44"/>
        <v>982</v>
      </c>
      <c r="CD23" s="58">
        <f t="shared" si="45"/>
        <v>99.091826437941478</v>
      </c>
      <c r="CE23" s="57">
        <v>0</v>
      </c>
      <c r="CF23" s="58">
        <f t="shared" si="46"/>
        <v>0</v>
      </c>
      <c r="CG23" s="57">
        <v>9</v>
      </c>
      <c r="CH23" s="60">
        <v>21</v>
      </c>
      <c r="CI23" s="55">
        <v>1043</v>
      </c>
      <c r="CJ23" s="57">
        <f t="shared" si="48"/>
        <v>1035</v>
      </c>
      <c r="CK23" s="58">
        <f t="shared" si="49"/>
        <v>99.232981783317356</v>
      </c>
      <c r="CL23" s="57">
        <v>0</v>
      </c>
      <c r="CM23" s="58">
        <f t="shared" si="50"/>
        <v>0</v>
      </c>
      <c r="CN23" s="57">
        <v>8</v>
      </c>
      <c r="CO23" s="60">
        <v>21</v>
      </c>
      <c r="CP23" s="55">
        <v>1057</v>
      </c>
      <c r="CQ23" s="57">
        <f t="shared" si="52"/>
        <v>1049</v>
      </c>
      <c r="CR23" s="58">
        <f t="shared" si="53"/>
        <v>99.243140964995263</v>
      </c>
      <c r="CS23" s="57">
        <v>0</v>
      </c>
      <c r="CT23" s="58">
        <f t="shared" si="54"/>
        <v>0</v>
      </c>
      <c r="CU23" s="57">
        <v>8</v>
      </c>
      <c r="CV23" s="60">
        <v>21</v>
      </c>
      <c r="CW23" s="55">
        <v>1077</v>
      </c>
      <c r="CX23" s="57">
        <f t="shared" si="56"/>
        <v>1070</v>
      </c>
      <c r="CY23" s="58">
        <f t="shared" si="57"/>
        <v>99.350046425255343</v>
      </c>
      <c r="CZ23" s="57">
        <v>0</v>
      </c>
      <c r="DA23" s="58">
        <f t="shared" si="58"/>
        <v>0</v>
      </c>
      <c r="DB23" s="57">
        <v>7</v>
      </c>
      <c r="DC23" s="60">
        <v>21</v>
      </c>
      <c r="DD23" s="55">
        <v>1004</v>
      </c>
      <c r="DE23" s="57">
        <f t="shared" si="60"/>
        <v>998</v>
      </c>
      <c r="DF23" s="58">
        <f t="shared" si="61"/>
        <v>99.402390438247011</v>
      </c>
      <c r="DG23" s="57">
        <v>0</v>
      </c>
      <c r="DH23" s="58">
        <f t="shared" si="62"/>
        <v>0</v>
      </c>
      <c r="DI23" s="57">
        <v>6</v>
      </c>
      <c r="DJ23" s="60">
        <v>21</v>
      </c>
    </row>
    <row r="24" spans="1:114" ht="26.4" customHeight="1" thickBot="1" x14ac:dyDescent="0.3">
      <c r="A24" s="61">
        <v>14</v>
      </c>
      <c r="B24" s="62" t="s">
        <v>33</v>
      </c>
      <c r="C24" s="63">
        <v>605</v>
      </c>
      <c r="D24" s="64">
        <f t="shared" si="0"/>
        <v>576</v>
      </c>
      <c r="E24" s="65">
        <f t="shared" si="1"/>
        <v>95.206611570247929</v>
      </c>
      <c r="F24" s="64">
        <v>0</v>
      </c>
      <c r="G24" s="65">
        <f t="shared" si="2"/>
        <v>0</v>
      </c>
      <c r="H24" s="41">
        <v>29</v>
      </c>
      <c r="I24" s="42">
        <f t="shared" si="3"/>
        <v>4.7933884297520661</v>
      </c>
      <c r="J24" s="63">
        <v>598</v>
      </c>
      <c r="K24" s="64">
        <f t="shared" si="4"/>
        <v>568</v>
      </c>
      <c r="L24" s="65">
        <f t="shared" si="5"/>
        <v>94.983277591973248</v>
      </c>
      <c r="M24" s="64">
        <v>0</v>
      </c>
      <c r="N24" s="65">
        <f t="shared" si="6"/>
        <v>0</v>
      </c>
      <c r="O24" s="41">
        <v>30</v>
      </c>
      <c r="P24" s="42">
        <f t="shared" si="7"/>
        <v>5.0167224080267561</v>
      </c>
      <c r="Q24" s="63">
        <v>590</v>
      </c>
      <c r="R24" s="64">
        <f t="shared" si="8"/>
        <v>563</v>
      </c>
      <c r="S24" s="65">
        <f t="shared" si="9"/>
        <v>95.423728813559322</v>
      </c>
      <c r="T24" s="64">
        <v>0</v>
      </c>
      <c r="U24" s="65">
        <f t="shared" si="10"/>
        <v>0</v>
      </c>
      <c r="V24" s="41">
        <v>27</v>
      </c>
      <c r="W24" s="42">
        <f t="shared" si="11"/>
        <v>4.5762711864406782</v>
      </c>
      <c r="X24" s="63">
        <v>713</v>
      </c>
      <c r="Y24" s="64">
        <f t="shared" si="12"/>
        <v>685</v>
      </c>
      <c r="Z24" s="65">
        <f t="shared" si="13"/>
        <v>96.072931276297339</v>
      </c>
      <c r="AA24" s="64">
        <v>7</v>
      </c>
      <c r="AB24" s="65">
        <f t="shared" si="14"/>
        <v>0.98176718092566617</v>
      </c>
      <c r="AC24" s="41">
        <v>21</v>
      </c>
      <c r="AD24" s="42">
        <f t="shared" si="15"/>
        <v>2.9453015427769986</v>
      </c>
      <c r="AE24" s="63">
        <v>768</v>
      </c>
      <c r="AF24" s="64">
        <f t="shared" si="16"/>
        <v>744</v>
      </c>
      <c r="AG24" s="65">
        <f t="shared" si="17"/>
        <v>96.875</v>
      </c>
      <c r="AH24" s="64">
        <v>4</v>
      </c>
      <c r="AI24" s="65">
        <f t="shared" si="18"/>
        <v>0.52083333333333337</v>
      </c>
      <c r="AJ24" s="41">
        <v>20</v>
      </c>
      <c r="AK24" s="42">
        <f t="shared" si="19"/>
        <v>2.6041666666666665</v>
      </c>
      <c r="AL24" s="63">
        <v>801</v>
      </c>
      <c r="AM24" s="64">
        <f t="shared" si="20"/>
        <v>773</v>
      </c>
      <c r="AN24" s="65">
        <f t="shared" si="21"/>
        <v>96.504369538077398</v>
      </c>
      <c r="AO24" s="64">
        <v>6</v>
      </c>
      <c r="AP24" s="65">
        <f t="shared" si="22"/>
        <v>0.74906367041198507</v>
      </c>
      <c r="AQ24" s="41">
        <v>22</v>
      </c>
      <c r="AR24" s="42">
        <f t="shared" si="23"/>
        <v>2.7465667915106118</v>
      </c>
      <c r="AS24" s="63">
        <v>841</v>
      </c>
      <c r="AT24" s="64">
        <f t="shared" si="24"/>
        <v>814</v>
      </c>
      <c r="AU24" s="65">
        <f t="shared" si="25"/>
        <v>96.789536266349586</v>
      </c>
      <c r="AV24" s="64">
        <v>5</v>
      </c>
      <c r="AW24" s="65">
        <f t="shared" si="26"/>
        <v>0.59453032104637338</v>
      </c>
      <c r="AX24" s="41">
        <v>22</v>
      </c>
      <c r="AY24" s="42">
        <f t="shared" si="27"/>
        <v>2.615933412604043</v>
      </c>
      <c r="AZ24" s="63">
        <v>886</v>
      </c>
      <c r="BA24" s="64">
        <f t="shared" si="28"/>
        <v>862</v>
      </c>
      <c r="BB24" s="65">
        <f t="shared" si="29"/>
        <v>97.291196388261852</v>
      </c>
      <c r="BC24" s="64">
        <v>5</v>
      </c>
      <c r="BD24" s="65">
        <f t="shared" si="30"/>
        <v>0.56433408577878108</v>
      </c>
      <c r="BE24" s="41">
        <v>19</v>
      </c>
      <c r="BF24" s="43">
        <f t="shared" si="31"/>
        <v>2.144469525959368</v>
      </c>
      <c r="BG24" s="63">
        <v>912</v>
      </c>
      <c r="BH24" s="64">
        <f t="shared" si="32"/>
        <v>882</v>
      </c>
      <c r="BI24" s="65">
        <f t="shared" si="33"/>
        <v>96.71052631578948</v>
      </c>
      <c r="BJ24" s="64">
        <v>9</v>
      </c>
      <c r="BK24" s="65">
        <f t="shared" si="34"/>
        <v>0.98684210526315785</v>
      </c>
      <c r="BL24" s="41">
        <v>21</v>
      </c>
      <c r="BM24" s="43">
        <f t="shared" si="35"/>
        <v>2.3026315789473686</v>
      </c>
      <c r="BN24" s="63">
        <v>958</v>
      </c>
      <c r="BO24" s="64">
        <f t="shared" si="36"/>
        <v>926</v>
      </c>
      <c r="BP24" s="65">
        <f t="shared" si="37"/>
        <v>96.659707724425886</v>
      </c>
      <c r="BQ24" s="64">
        <v>8</v>
      </c>
      <c r="BR24" s="65">
        <f t="shared" si="38"/>
        <v>0.83507306889352817</v>
      </c>
      <c r="BS24" s="41">
        <v>24</v>
      </c>
      <c r="BT24" s="43">
        <f>BS24*100/BN24</f>
        <v>2.5052192066805845</v>
      </c>
      <c r="BU24" s="63">
        <v>980</v>
      </c>
      <c r="BV24" s="64">
        <f t="shared" si="40"/>
        <v>953</v>
      </c>
      <c r="BW24" s="65">
        <f t="shared" si="41"/>
        <v>97.244897959183675</v>
      </c>
      <c r="BX24" s="64">
        <v>7</v>
      </c>
      <c r="BY24" s="65">
        <f t="shared" si="42"/>
        <v>0.7142857142857143</v>
      </c>
      <c r="BZ24" s="41">
        <v>20</v>
      </c>
      <c r="CA24" s="43">
        <f>BZ24*100/BU24</f>
        <v>2.0408163265306123</v>
      </c>
      <c r="CB24" s="63">
        <v>971</v>
      </c>
      <c r="CC24" s="64">
        <f t="shared" si="44"/>
        <v>956</v>
      </c>
      <c r="CD24" s="65">
        <f t="shared" si="45"/>
        <v>98.455200823892895</v>
      </c>
      <c r="CE24" s="64">
        <v>0</v>
      </c>
      <c r="CF24" s="65">
        <f t="shared" si="46"/>
        <v>0</v>
      </c>
      <c r="CG24" s="41">
        <v>15</v>
      </c>
      <c r="CH24" s="43">
        <f>CG24*100/CB24</f>
        <v>1.544799176107106</v>
      </c>
      <c r="CI24" s="63">
        <v>973</v>
      </c>
      <c r="CJ24" s="64">
        <f t="shared" si="48"/>
        <v>962</v>
      </c>
      <c r="CK24" s="65">
        <f t="shared" si="49"/>
        <v>98.869475847893113</v>
      </c>
      <c r="CL24" s="64">
        <v>0</v>
      </c>
      <c r="CM24" s="65">
        <f t="shared" si="50"/>
        <v>0</v>
      </c>
      <c r="CN24" s="41">
        <v>11</v>
      </c>
      <c r="CO24" s="43">
        <f>CN24*100/CI24</f>
        <v>1.1305241521068858</v>
      </c>
      <c r="CP24" s="63">
        <v>984</v>
      </c>
      <c r="CQ24" s="64">
        <f t="shared" si="52"/>
        <v>967</v>
      </c>
      <c r="CR24" s="65">
        <f t="shared" si="53"/>
        <v>98.27235772357723</v>
      </c>
      <c r="CS24" s="64">
        <v>4</v>
      </c>
      <c r="CT24" s="65">
        <f t="shared" si="54"/>
        <v>0.4065040650406504</v>
      </c>
      <c r="CU24" s="41">
        <v>13</v>
      </c>
      <c r="CV24" s="43">
        <f>CU24*100/CP24</f>
        <v>1.3211382113821137</v>
      </c>
      <c r="CW24" s="63">
        <v>965</v>
      </c>
      <c r="CX24" s="64">
        <f t="shared" si="56"/>
        <v>953</v>
      </c>
      <c r="CY24" s="65">
        <f t="shared" si="57"/>
        <v>98.756476683937819</v>
      </c>
      <c r="CZ24" s="64">
        <v>3</v>
      </c>
      <c r="DA24" s="65">
        <f t="shared" si="58"/>
        <v>0.31088082901554404</v>
      </c>
      <c r="DB24" s="41">
        <v>9</v>
      </c>
      <c r="DC24" s="43">
        <f>DB24*100/CW24</f>
        <v>0.93264248704663211</v>
      </c>
      <c r="DD24" s="63">
        <v>876</v>
      </c>
      <c r="DE24" s="64">
        <f t="shared" si="60"/>
        <v>861</v>
      </c>
      <c r="DF24" s="65">
        <f t="shared" si="61"/>
        <v>98.287671232876718</v>
      </c>
      <c r="DG24" s="64">
        <v>3</v>
      </c>
      <c r="DH24" s="65">
        <f t="shared" si="62"/>
        <v>0.34246575342465752</v>
      </c>
      <c r="DI24" s="41">
        <v>12</v>
      </c>
      <c r="DJ24" s="43">
        <f>DI24*100/DD24</f>
        <v>1.3698630136986301</v>
      </c>
    </row>
    <row r="25" spans="1:114" s="6" customFormat="1" ht="26.4" customHeight="1" thickBot="1" x14ac:dyDescent="0.3">
      <c r="A25" s="461" t="s">
        <v>37</v>
      </c>
      <c r="B25" s="462"/>
      <c r="C25" s="66">
        <f>SUM(C22:C24)</f>
        <v>2346</v>
      </c>
      <c r="D25" s="45">
        <f t="shared" si="0"/>
        <v>2285</v>
      </c>
      <c r="E25" s="46">
        <f t="shared" si="1"/>
        <v>97.399829497016199</v>
      </c>
      <c r="F25" s="45">
        <f>SUM(F22:F24)</f>
        <v>0</v>
      </c>
      <c r="G25" s="46">
        <f t="shared" si="2"/>
        <v>0</v>
      </c>
      <c r="H25" s="45">
        <f>SUM(H22:H24)</f>
        <v>61</v>
      </c>
      <c r="I25" s="47">
        <f t="shared" si="3"/>
        <v>2.600170502983802</v>
      </c>
      <c r="J25" s="66">
        <f>SUM(J22:J24)</f>
        <v>2325</v>
      </c>
      <c r="K25" s="45">
        <f t="shared" si="4"/>
        <v>2273</v>
      </c>
      <c r="L25" s="46">
        <f t="shared" si="5"/>
        <v>97.763440860215056</v>
      </c>
      <c r="M25" s="45">
        <f>SUM(M22:M24)</f>
        <v>1</v>
      </c>
      <c r="N25" s="46">
        <f t="shared" si="6"/>
        <v>4.3010752688172046E-2</v>
      </c>
      <c r="O25" s="45">
        <f>SUM(O22:O24)</f>
        <v>51</v>
      </c>
      <c r="P25" s="47">
        <f t="shared" si="7"/>
        <v>2.193548387096774</v>
      </c>
      <c r="Q25" s="66">
        <f>SUM(Q22:Q24)</f>
        <v>2363</v>
      </c>
      <c r="R25" s="45">
        <f t="shared" si="8"/>
        <v>2320</v>
      </c>
      <c r="S25" s="46">
        <f t="shared" si="9"/>
        <v>98.180279305966991</v>
      </c>
      <c r="T25" s="45">
        <f>SUM(T22:T24)</f>
        <v>0</v>
      </c>
      <c r="U25" s="46">
        <f t="shared" si="10"/>
        <v>0</v>
      </c>
      <c r="V25" s="45">
        <f>SUM(V22:V24)</f>
        <v>43</v>
      </c>
      <c r="W25" s="47">
        <f t="shared" si="11"/>
        <v>1.8197206940330088</v>
      </c>
      <c r="X25" s="66">
        <f>SUM(X22:X24)</f>
        <v>2467</v>
      </c>
      <c r="Y25" s="45">
        <f t="shared" si="12"/>
        <v>2415</v>
      </c>
      <c r="Z25" s="46">
        <f t="shared" si="13"/>
        <v>97.892176732873935</v>
      </c>
      <c r="AA25" s="45">
        <f>SUM(AA22:AA24)</f>
        <v>7</v>
      </c>
      <c r="AB25" s="46">
        <f t="shared" si="14"/>
        <v>0.28374543980543171</v>
      </c>
      <c r="AC25" s="45">
        <f>SUM(AC22:AC24)</f>
        <v>45</v>
      </c>
      <c r="AD25" s="47">
        <f t="shared" si="15"/>
        <v>1.8240778273206324</v>
      </c>
      <c r="AE25" s="66">
        <f>SUM(AE22:AE24)</f>
        <v>2503</v>
      </c>
      <c r="AF25" s="45">
        <f t="shared" si="16"/>
        <v>2456</v>
      </c>
      <c r="AG25" s="46">
        <f t="shared" si="17"/>
        <v>98.122253296044747</v>
      </c>
      <c r="AH25" s="45">
        <f>SUM(AH22:AH24)</f>
        <v>4</v>
      </c>
      <c r="AI25" s="46">
        <f t="shared" si="18"/>
        <v>0.15980823012385137</v>
      </c>
      <c r="AJ25" s="45">
        <f>SUM(AJ22:AJ24)</f>
        <v>43</v>
      </c>
      <c r="AK25" s="47">
        <f t="shared" si="19"/>
        <v>1.7179384738314023</v>
      </c>
      <c r="AL25" s="66">
        <f>SUM(AL22:AL24)</f>
        <v>2615</v>
      </c>
      <c r="AM25" s="45">
        <f t="shared" si="20"/>
        <v>2560</v>
      </c>
      <c r="AN25" s="46">
        <f t="shared" si="21"/>
        <v>97.896749521988525</v>
      </c>
      <c r="AO25" s="45">
        <f>SUM(AO22:AO24)</f>
        <v>6</v>
      </c>
      <c r="AP25" s="46">
        <f t="shared" si="22"/>
        <v>0.2294455066921606</v>
      </c>
      <c r="AQ25" s="45">
        <f>SUM(AQ22:AQ24)</f>
        <v>49</v>
      </c>
      <c r="AR25" s="47">
        <f t="shared" si="23"/>
        <v>1.8738049713193117</v>
      </c>
      <c r="AS25" s="66">
        <f>SUM(AS22:AS24)</f>
        <v>2631</v>
      </c>
      <c r="AT25" s="45">
        <f t="shared" si="24"/>
        <v>2575</v>
      </c>
      <c r="AU25" s="46">
        <f t="shared" si="25"/>
        <v>97.871531736982135</v>
      </c>
      <c r="AV25" s="45">
        <f>SUM(AV22:AV24)</f>
        <v>5</v>
      </c>
      <c r="AW25" s="46">
        <f t="shared" si="26"/>
        <v>0.19004180919802358</v>
      </c>
      <c r="AX25" s="45">
        <f>SUM(AX22:AX24)</f>
        <v>51</v>
      </c>
      <c r="AY25" s="47">
        <f t="shared" si="27"/>
        <v>1.9384264538198404</v>
      </c>
      <c r="AZ25" s="66">
        <f>SUM(AZ22:AZ24)</f>
        <v>2670</v>
      </c>
      <c r="BA25" s="45">
        <f t="shared" si="28"/>
        <v>2617</v>
      </c>
      <c r="BB25" s="46">
        <f t="shared" si="29"/>
        <v>98.014981273408239</v>
      </c>
      <c r="BC25" s="45">
        <f>SUM(BC22:BC24)</f>
        <v>5</v>
      </c>
      <c r="BD25" s="46">
        <f t="shared" si="30"/>
        <v>0.18726591760299627</v>
      </c>
      <c r="BE25" s="45">
        <f>SUM(BE22:BE24)</f>
        <v>48</v>
      </c>
      <c r="BF25" s="48">
        <f t="shared" si="31"/>
        <v>1.797752808988764</v>
      </c>
      <c r="BG25" s="66">
        <f>BG22+BG23+BG24</f>
        <v>2702</v>
      </c>
      <c r="BH25" s="45">
        <f t="shared" si="32"/>
        <v>2642</v>
      </c>
      <c r="BI25" s="46">
        <f t="shared" si="33"/>
        <v>97.779422649888971</v>
      </c>
      <c r="BJ25" s="45">
        <f>BJ22+BJ23+BJ24</f>
        <v>9</v>
      </c>
      <c r="BK25" s="46">
        <f t="shared" si="34"/>
        <v>0.33308660251665434</v>
      </c>
      <c r="BL25" s="45">
        <f>BL22+BL23+BL24</f>
        <v>51</v>
      </c>
      <c r="BM25" s="48">
        <f t="shared" si="35"/>
        <v>1.8874907475943745</v>
      </c>
      <c r="BN25" s="66">
        <f>BN22+BN23+BN24</f>
        <v>2807</v>
      </c>
      <c r="BO25" s="45">
        <f t="shared" si="36"/>
        <v>2752</v>
      </c>
      <c r="BP25" s="46">
        <f t="shared" si="37"/>
        <v>98.040612753829706</v>
      </c>
      <c r="BQ25" s="45">
        <f>BQ22+BQ23+BQ24</f>
        <v>8</v>
      </c>
      <c r="BR25" s="46">
        <f t="shared" si="38"/>
        <v>0.2850017812611329</v>
      </c>
      <c r="BS25" s="45">
        <f>BS22+BS23+BS24</f>
        <v>47</v>
      </c>
      <c r="BT25" s="48">
        <f>BS25*100/BN25</f>
        <v>1.6743854649091556</v>
      </c>
      <c r="BU25" s="66">
        <f>BU22+BU23+BU24</f>
        <v>2831</v>
      </c>
      <c r="BV25" s="45">
        <f t="shared" si="40"/>
        <v>2788</v>
      </c>
      <c r="BW25" s="46">
        <f t="shared" si="41"/>
        <v>98.481102084069235</v>
      </c>
      <c r="BX25" s="45">
        <f>BX22+BX23+BX24</f>
        <v>7</v>
      </c>
      <c r="BY25" s="46">
        <f t="shared" si="42"/>
        <v>0.24726245143058989</v>
      </c>
      <c r="BZ25" s="45">
        <f>BZ22+BZ23+BZ24</f>
        <v>36</v>
      </c>
      <c r="CA25" s="48">
        <f>BZ25*100/BU25</f>
        <v>1.2716354645001766</v>
      </c>
      <c r="CB25" s="66">
        <f>CB22+CB23+CB24</f>
        <v>2832</v>
      </c>
      <c r="CC25" s="45">
        <f t="shared" si="44"/>
        <v>2804</v>
      </c>
      <c r="CD25" s="46">
        <f t="shared" si="45"/>
        <v>99.011299435028249</v>
      </c>
      <c r="CE25" s="45">
        <f>CE22+CE23+CE24</f>
        <v>0</v>
      </c>
      <c r="CF25" s="46">
        <f t="shared" si="46"/>
        <v>0</v>
      </c>
      <c r="CG25" s="45">
        <f>CG22+CG23+CG24</f>
        <v>28</v>
      </c>
      <c r="CH25" s="48">
        <f>CG25*100/CB25</f>
        <v>0.98870056497175141</v>
      </c>
      <c r="CI25" s="66">
        <f>CI22+CI23+CI24</f>
        <v>2886</v>
      </c>
      <c r="CJ25" s="45">
        <f t="shared" si="48"/>
        <v>2863</v>
      </c>
      <c r="CK25" s="46">
        <f t="shared" si="49"/>
        <v>99.203049203049204</v>
      </c>
      <c r="CL25" s="45">
        <f>CL22+CL23+CL24</f>
        <v>0</v>
      </c>
      <c r="CM25" s="46">
        <f t="shared" si="50"/>
        <v>0</v>
      </c>
      <c r="CN25" s="45">
        <f>CN22+CN23+CN24</f>
        <v>23</v>
      </c>
      <c r="CO25" s="48">
        <f>CN25*100/CI25</f>
        <v>0.79695079695079696</v>
      </c>
      <c r="CP25" s="66">
        <f>CP22+CP23+CP24</f>
        <v>2907</v>
      </c>
      <c r="CQ25" s="45">
        <f t="shared" si="52"/>
        <v>2880</v>
      </c>
      <c r="CR25" s="46">
        <f t="shared" si="53"/>
        <v>99.071207430340564</v>
      </c>
      <c r="CS25" s="45">
        <f>CS22+CS23+CS24</f>
        <v>4</v>
      </c>
      <c r="CT25" s="46">
        <f t="shared" si="54"/>
        <v>0.13759889920880633</v>
      </c>
      <c r="CU25" s="45">
        <f>CU22+CU23+CU24</f>
        <v>23</v>
      </c>
      <c r="CV25" s="48">
        <f>CU25*100/CP25</f>
        <v>0.79119367045063638</v>
      </c>
      <c r="CW25" s="66">
        <f>CW22+CW23+CW24</f>
        <v>2882</v>
      </c>
      <c r="CX25" s="45">
        <f t="shared" si="56"/>
        <v>2859</v>
      </c>
      <c r="CY25" s="46">
        <f t="shared" si="57"/>
        <v>99.201943095072863</v>
      </c>
      <c r="CZ25" s="45">
        <f>CZ22+CZ23+CZ24</f>
        <v>3</v>
      </c>
      <c r="DA25" s="46">
        <f t="shared" si="58"/>
        <v>0.1040943789035392</v>
      </c>
      <c r="DB25" s="45">
        <f>DB22+DB23+DB24</f>
        <v>20</v>
      </c>
      <c r="DC25" s="48">
        <f>DB25*100/CW25</f>
        <v>0.69396252602359476</v>
      </c>
      <c r="DD25" s="66">
        <f>DD22+DD23+DD24</f>
        <v>2656</v>
      </c>
      <c r="DE25" s="45">
        <f t="shared" si="60"/>
        <v>2629</v>
      </c>
      <c r="DF25" s="46">
        <f t="shared" si="61"/>
        <v>98.983433734939766</v>
      </c>
      <c r="DG25" s="45">
        <f>DG22+DG23+DG24</f>
        <v>5</v>
      </c>
      <c r="DH25" s="46">
        <f t="shared" si="62"/>
        <v>0.18825301204819278</v>
      </c>
      <c r="DI25" s="45">
        <f>DI22+DI23+DI24</f>
        <v>22</v>
      </c>
      <c r="DJ25" s="48">
        <f>DI25*100/DD25</f>
        <v>0.82831325301204817</v>
      </c>
    </row>
    <row r="26" spans="1:114" s="6" customFormat="1" ht="45" customHeight="1" thickBot="1" x14ac:dyDescent="0.3">
      <c r="A26" s="459" t="s">
        <v>35</v>
      </c>
      <c r="B26" s="460"/>
      <c r="C26" s="66">
        <f>C21+C25</f>
        <v>10266</v>
      </c>
      <c r="D26" s="45">
        <f t="shared" si="0"/>
        <v>9882</v>
      </c>
      <c r="E26" s="67">
        <f t="shared" si="1"/>
        <v>96.259497369959092</v>
      </c>
      <c r="F26" s="45">
        <f>F21+F25</f>
        <v>86</v>
      </c>
      <c r="G26" s="67">
        <f t="shared" si="2"/>
        <v>0.83771673485291254</v>
      </c>
      <c r="H26" s="45">
        <f>H21+H25</f>
        <v>298</v>
      </c>
      <c r="I26" s="47">
        <f t="shared" si="3"/>
        <v>2.902785895187999</v>
      </c>
      <c r="J26" s="66">
        <f>J21+J25</f>
        <v>10226</v>
      </c>
      <c r="K26" s="45" t="e">
        <f t="shared" si="4"/>
        <v>#REF!</v>
      </c>
      <c r="L26" s="67" t="e">
        <f t="shared" si="5"/>
        <v>#REF!</v>
      </c>
      <c r="M26" s="45" t="e">
        <f>M21+M25</f>
        <v>#REF!</v>
      </c>
      <c r="N26" s="67" t="e">
        <f t="shared" si="6"/>
        <v>#REF!</v>
      </c>
      <c r="O26" s="45">
        <f>O21+O25</f>
        <v>276</v>
      </c>
      <c r="P26" s="47">
        <f t="shared" si="7"/>
        <v>2.699002542538627</v>
      </c>
      <c r="Q26" s="66">
        <f>Q21+Q25</f>
        <v>10317</v>
      </c>
      <c r="R26" s="45">
        <f t="shared" si="8"/>
        <v>9903</v>
      </c>
      <c r="S26" s="67">
        <f t="shared" si="9"/>
        <v>95.987205583018323</v>
      </c>
      <c r="T26" s="45">
        <f>T21+T25</f>
        <v>132</v>
      </c>
      <c r="U26" s="67">
        <f t="shared" si="10"/>
        <v>1.2794416981680721</v>
      </c>
      <c r="V26" s="45">
        <f>V21+V25</f>
        <v>282</v>
      </c>
      <c r="W26" s="47">
        <f t="shared" si="11"/>
        <v>2.7333527188136086</v>
      </c>
      <c r="X26" s="66">
        <f>X21+X25</f>
        <v>10803</v>
      </c>
      <c r="Y26" s="45">
        <f t="shared" si="12"/>
        <v>10315</v>
      </c>
      <c r="Z26" s="67">
        <f t="shared" si="13"/>
        <v>95.482736276960097</v>
      </c>
      <c r="AA26" s="45">
        <f>AA21+AA25</f>
        <v>131</v>
      </c>
      <c r="AB26" s="67">
        <f t="shared" si="14"/>
        <v>1.2126261223734147</v>
      </c>
      <c r="AC26" s="45">
        <f>AC21+AC25</f>
        <v>357</v>
      </c>
      <c r="AD26" s="47">
        <f t="shared" si="15"/>
        <v>3.3046376006664815</v>
      </c>
      <c r="AE26" s="66">
        <f>AE21+AE25</f>
        <v>10946</v>
      </c>
      <c r="AF26" s="45">
        <f t="shared" si="16"/>
        <v>10434</v>
      </c>
      <c r="AG26" s="67">
        <f t="shared" si="17"/>
        <v>95.322492234606244</v>
      </c>
      <c r="AH26" s="45">
        <f>AH21+AH25</f>
        <v>149</v>
      </c>
      <c r="AI26" s="67">
        <f t="shared" si="18"/>
        <v>1.3612278457884159</v>
      </c>
      <c r="AJ26" s="45">
        <f>AJ21+AJ25</f>
        <v>363</v>
      </c>
      <c r="AK26" s="47">
        <f t="shared" si="19"/>
        <v>3.3162799196053352</v>
      </c>
      <c r="AL26" s="66">
        <f>AL21+AL25</f>
        <v>11198</v>
      </c>
      <c r="AM26" s="45">
        <f t="shared" si="20"/>
        <v>10707</v>
      </c>
      <c r="AN26" s="67">
        <f t="shared" si="21"/>
        <v>95.615288444365063</v>
      </c>
      <c r="AO26" s="45">
        <f>AO21+AO25</f>
        <v>106</v>
      </c>
      <c r="AP26" s="67">
        <f t="shared" si="22"/>
        <v>0.94659760671548487</v>
      </c>
      <c r="AQ26" s="45">
        <f>AQ21+AQ25</f>
        <v>385</v>
      </c>
      <c r="AR26" s="47">
        <f t="shared" si="23"/>
        <v>3.4381139489194501</v>
      </c>
      <c r="AS26" s="66">
        <f>AS21+AS25</f>
        <v>11363</v>
      </c>
      <c r="AT26" s="45">
        <f t="shared" si="24"/>
        <v>10870</v>
      </c>
      <c r="AU26" s="67">
        <f t="shared" si="25"/>
        <v>95.661357035994016</v>
      </c>
      <c r="AV26" s="45">
        <f>AV21+AV25</f>
        <v>93</v>
      </c>
      <c r="AW26" s="67">
        <f t="shared" si="26"/>
        <v>0.81844583296664608</v>
      </c>
      <c r="AX26" s="45">
        <f>AX21+AX25</f>
        <v>400</v>
      </c>
      <c r="AY26" s="47">
        <f t="shared" si="27"/>
        <v>3.5201971310393381</v>
      </c>
      <c r="AZ26" s="66">
        <f>AZ21+AZ25</f>
        <v>11711</v>
      </c>
      <c r="BA26" s="45">
        <f t="shared" si="28"/>
        <v>11222</v>
      </c>
      <c r="BB26" s="67">
        <f t="shared" si="29"/>
        <v>95.824438562035695</v>
      </c>
      <c r="BC26" s="45">
        <f>BC21+BC25</f>
        <v>93</v>
      </c>
      <c r="BD26" s="67">
        <f t="shared" si="30"/>
        <v>0.79412518145333444</v>
      </c>
      <c r="BE26" s="45">
        <f>BE21+BE25</f>
        <v>396</v>
      </c>
      <c r="BF26" s="48">
        <f t="shared" si="31"/>
        <v>3.3814362565109728</v>
      </c>
      <c r="BG26" s="66">
        <f>BG21+BG25</f>
        <v>12037</v>
      </c>
      <c r="BH26" s="45">
        <f t="shared" si="32"/>
        <v>11571</v>
      </c>
      <c r="BI26" s="67">
        <f t="shared" si="33"/>
        <v>96.128603472626068</v>
      </c>
      <c r="BJ26" s="45">
        <f>BJ21+BJ25</f>
        <v>84</v>
      </c>
      <c r="BK26" s="67">
        <f t="shared" si="34"/>
        <v>0.6978483010716956</v>
      </c>
      <c r="BL26" s="45">
        <f>BL21+BL25</f>
        <v>382</v>
      </c>
      <c r="BM26" s="48">
        <f t="shared" si="35"/>
        <v>3.173548226302235</v>
      </c>
      <c r="BN26" s="66">
        <f>BN21+BN25</f>
        <v>12412</v>
      </c>
      <c r="BO26" s="45">
        <f t="shared" si="36"/>
        <v>11980</v>
      </c>
      <c r="BP26" s="67">
        <f t="shared" si="37"/>
        <v>96.51949726071544</v>
      </c>
      <c r="BQ26" s="45">
        <f>BQ21+BQ25</f>
        <v>73</v>
      </c>
      <c r="BR26" s="67">
        <f t="shared" si="38"/>
        <v>0.58814050918465999</v>
      </c>
      <c r="BS26" s="45">
        <f>BS21+BS25</f>
        <v>359</v>
      </c>
      <c r="BT26" s="48">
        <f>BS26*100/BN26</f>
        <v>2.8923622300999035</v>
      </c>
      <c r="BU26" s="66">
        <f>BU21+BU25</f>
        <v>12654</v>
      </c>
      <c r="BV26" s="45">
        <f t="shared" si="40"/>
        <v>12240</v>
      </c>
      <c r="BW26" s="67">
        <f t="shared" si="41"/>
        <v>96.728307254623047</v>
      </c>
      <c r="BX26" s="45">
        <f>BX21+BX25</f>
        <v>66</v>
      </c>
      <c r="BY26" s="67">
        <f t="shared" si="42"/>
        <v>0.52157420578473213</v>
      </c>
      <c r="BZ26" s="45">
        <f>BZ21+BZ25</f>
        <v>348</v>
      </c>
      <c r="CA26" s="48">
        <f>BZ26*100/BU26</f>
        <v>2.7501185395922239</v>
      </c>
      <c r="CB26" s="66">
        <f>CB21+CB25</f>
        <v>12927</v>
      </c>
      <c r="CC26" s="45">
        <f t="shared" si="44"/>
        <v>12538</v>
      </c>
      <c r="CD26" s="67">
        <f t="shared" si="45"/>
        <v>96.990794461205226</v>
      </c>
      <c r="CE26" s="45">
        <f>CE21+CE25</f>
        <v>62</v>
      </c>
      <c r="CF26" s="67">
        <f t="shared" si="46"/>
        <v>0.47961630695443647</v>
      </c>
      <c r="CG26" s="45">
        <f>CG21+CG25</f>
        <v>327</v>
      </c>
      <c r="CH26" s="48">
        <f>CG26*100/CB26</f>
        <v>2.5295892318403341</v>
      </c>
      <c r="CI26" s="66">
        <f>CI21+CI25</f>
        <v>13185</v>
      </c>
      <c r="CJ26" s="45">
        <f t="shared" si="48"/>
        <v>12787</v>
      </c>
      <c r="CK26" s="67">
        <f t="shared" si="49"/>
        <v>96.981418278346609</v>
      </c>
      <c r="CL26" s="45">
        <f>CL21+CL25</f>
        <v>73</v>
      </c>
      <c r="CM26" s="67">
        <f t="shared" si="50"/>
        <v>0.55365946150929091</v>
      </c>
      <c r="CN26" s="45">
        <f>CN21+CN25</f>
        <v>325</v>
      </c>
      <c r="CO26" s="48">
        <f>CN26*100/CI26</f>
        <v>2.4649222601441032</v>
      </c>
      <c r="CP26" s="66">
        <f>CP21+CP25</f>
        <v>13451</v>
      </c>
      <c r="CQ26" s="45">
        <f t="shared" si="52"/>
        <v>13077</v>
      </c>
      <c r="CR26" s="67">
        <f t="shared" si="53"/>
        <v>97.219537580849007</v>
      </c>
      <c r="CS26" s="45">
        <f>CS21+CS25</f>
        <v>44</v>
      </c>
      <c r="CT26" s="67">
        <f t="shared" si="54"/>
        <v>0.32711322578246971</v>
      </c>
      <c r="CU26" s="45">
        <f>CU21+CU25</f>
        <v>330</v>
      </c>
      <c r="CV26" s="48">
        <f>CU26*100/CP26</f>
        <v>2.4533491933685228</v>
      </c>
      <c r="CW26" s="66">
        <f>CW21+CW25</f>
        <v>13466</v>
      </c>
      <c r="CX26" s="45">
        <f t="shared" si="56"/>
        <v>13094</v>
      </c>
      <c r="CY26" s="67">
        <f t="shared" si="57"/>
        <v>97.237487004307141</v>
      </c>
      <c r="CZ26" s="45">
        <f>CZ21+CZ25</f>
        <v>46</v>
      </c>
      <c r="DA26" s="67">
        <f t="shared" si="58"/>
        <v>0.34160106935986928</v>
      </c>
      <c r="DB26" s="45">
        <f>DB21+DB25</f>
        <v>326</v>
      </c>
      <c r="DC26" s="48">
        <f>DB26*100/CW26</f>
        <v>2.4209119263329866</v>
      </c>
      <c r="DD26" s="66">
        <f>DD21+DD25</f>
        <v>12546</v>
      </c>
      <c r="DE26" s="45">
        <f t="shared" si="60"/>
        <v>12195</v>
      </c>
      <c r="DF26" s="67">
        <f t="shared" si="61"/>
        <v>97.202295552367289</v>
      </c>
      <c r="DG26" s="45">
        <f>DG21+DG25</f>
        <v>48</v>
      </c>
      <c r="DH26" s="67">
        <f t="shared" si="62"/>
        <v>0.38259206121472977</v>
      </c>
      <c r="DI26" s="45">
        <f>DI21+DI25</f>
        <v>303</v>
      </c>
      <c r="DJ26" s="48">
        <f>DI26*100/DD26</f>
        <v>2.4151123864179818</v>
      </c>
    </row>
    <row r="27" spans="1:114" s="68" customFormat="1" x14ac:dyDescent="0.25">
      <c r="B27" s="6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114" s="68" customFormat="1" x14ac:dyDescent="0.25">
      <c r="B28" s="6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114" s="68" customFormat="1" x14ac:dyDescent="0.25">
      <c r="B29" s="6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114" s="68" customFormat="1" x14ac:dyDescent="0.25">
      <c r="B30" s="6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114" s="68" customFormat="1" x14ac:dyDescent="0.25">
      <c r="B31" s="6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114" s="68" customFormat="1" x14ac:dyDescent="0.25">
      <c r="B32" s="6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2:72" s="68" customFormat="1" x14ac:dyDescent="0.25">
      <c r="B33" s="6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2:72" s="68" customFormat="1" x14ac:dyDescent="0.25">
      <c r="B34" s="6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2:72" s="68" customFormat="1" x14ac:dyDescent="0.25">
      <c r="B35" s="6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2:72" s="68" customFormat="1" x14ac:dyDescent="0.25">
      <c r="B36" s="6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2:72" s="68" customFormat="1" x14ac:dyDescent="0.25">
      <c r="B37" s="6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2:72" s="68" customFormat="1" x14ac:dyDescent="0.25">
      <c r="B38" s="6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2:72" s="68" customFormat="1" x14ac:dyDescent="0.25">
      <c r="B39" s="6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2:72" s="68" customFormat="1" x14ac:dyDescent="0.25">
      <c r="B40" s="6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2:72" s="68" customFormat="1" x14ac:dyDescent="0.25">
      <c r="B41" s="6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2:72" s="68" customFormat="1" x14ac:dyDescent="0.25">
      <c r="B42" s="6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2:72" s="68" customFormat="1" x14ac:dyDescent="0.25">
      <c r="B43" s="6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2:72" s="68" customFormat="1" x14ac:dyDescent="0.25">
      <c r="B44" s="6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2:72" s="68" customFormat="1" x14ac:dyDescent="0.25">
      <c r="B45" s="6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2:72" s="68" customFormat="1" x14ac:dyDescent="0.25">
      <c r="B46" s="6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2:72" s="68" customFormat="1" x14ac:dyDescent="0.25">
      <c r="B47" s="6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2:72" s="68" customFormat="1" x14ac:dyDescent="0.25">
      <c r="B48" s="6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2:72" s="68" customFormat="1" x14ac:dyDescent="0.25">
      <c r="B49" s="6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2:72" s="68" customFormat="1" x14ac:dyDescent="0.25">
      <c r="B50" s="6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2:72" s="68" customFormat="1" x14ac:dyDescent="0.25">
      <c r="B51" s="6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2:72" s="68" customFormat="1" x14ac:dyDescent="0.25">
      <c r="B52" s="6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2:72" s="68" customFormat="1" x14ac:dyDescent="0.25">
      <c r="B53" s="6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2:72" s="68" customFormat="1" x14ac:dyDescent="0.25">
      <c r="B54" s="6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2:72" s="68" customFormat="1" x14ac:dyDescent="0.25">
      <c r="B55" s="6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2:72" s="68" customFormat="1" x14ac:dyDescent="0.25">
      <c r="B56" s="6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2:72" s="68" customFormat="1" x14ac:dyDescent="0.25">
      <c r="B57" s="6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2:72" s="68" customFormat="1" x14ac:dyDescent="0.25">
      <c r="B58" s="6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2:72" s="68" customFormat="1" x14ac:dyDescent="0.25">
      <c r="B59" s="6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2:72" s="68" customFormat="1" x14ac:dyDescent="0.25">
      <c r="B60" s="6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2:72" s="68" customFormat="1" x14ac:dyDescent="0.25">
      <c r="B61" s="6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2:72" s="68" customFormat="1" x14ac:dyDescent="0.25">
      <c r="B62" s="6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2:72" s="68" customFormat="1" x14ac:dyDescent="0.25">
      <c r="B63" s="6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2:72" s="68" customFormat="1" x14ac:dyDescent="0.25">
      <c r="B64" s="6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  <row r="65" spans="2:72" s="68" customFormat="1" x14ac:dyDescent="0.25">
      <c r="B65" s="6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</row>
    <row r="66" spans="2:72" s="68" customFormat="1" x14ac:dyDescent="0.25">
      <c r="B66" s="6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</row>
    <row r="67" spans="2:72" s="68" customFormat="1" x14ac:dyDescent="0.25">
      <c r="B67" s="6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</row>
    <row r="68" spans="2:72" s="68" customFormat="1" x14ac:dyDescent="0.25">
      <c r="B68" s="6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</row>
    <row r="69" spans="2:72" s="68" customFormat="1" x14ac:dyDescent="0.25">
      <c r="B69" s="6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</row>
    <row r="70" spans="2:72" s="68" customFormat="1" x14ac:dyDescent="0.25">
      <c r="B70" s="6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</row>
    <row r="71" spans="2:72" s="68" customFormat="1" x14ac:dyDescent="0.25">
      <c r="B71" s="6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</row>
    <row r="72" spans="2:72" s="68" customFormat="1" x14ac:dyDescent="0.25">
      <c r="B72" s="6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</row>
    <row r="73" spans="2:72" s="68" customFormat="1" x14ac:dyDescent="0.25">
      <c r="B73" s="6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</row>
    <row r="74" spans="2:72" s="68" customFormat="1" x14ac:dyDescent="0.25">
      <c r="B74" s="6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</row>
    <row r="75" spans="2:72" s="68" customFormat="1" x14ac:dyDescent="0.25">
      <c r="B75" s="6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</row>
    <row r="76" spans="2:72" s="68" customFormat="1" x14ac:dyDescent="0.25">
      <c r="B76" s="6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</row>
    <row r="77" spans="2:72" s="68" customFormat="1" x14ac:dyDescent="0.25">
      <c r="B77" s="6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</row>
    <row r="78" spans="2:72" s="68" customFormat="1" x14ac:dyDescent="0.25">
      <c r="B78" s="6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</row>
    <row r="79" spans="2:72" s="68" customFormat="1" x14ac:dyDescent="0.25">
      <c r="B79" s="6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</row>
    <row r="80" spans="2:72" s="68" customFormat="1" x14ac:dyDescent="0.25">
      <c r="B80" s="6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</row>
    <row r="81" spans="2:72" s="68" customFormat="1" x14ac:dyDescent="0.25">
      <c r="B81" s="6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</row>
    <row r="82" spans="2:72" s="68" customFormat="1" x14ac:dyDescent="0.25">
      <c r="B82" s="6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</row>
    <row r="83" spans="2:72" s="68" customFormat="1" x14ac:dyDescent="0.25">
      <c r="B83" s="6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</row>
    <row r="84" spans="2:72" s="68" customFormat="1" x14ac:dyDescent="0.25">
      <c r="B84" s="6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</row>
    <row r="85" spans="2:72" s="68" customFormat="1" x14ac:dyDescent="0.25">
      <c r="B85" s="6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</row>
    <row r="86" spans="2:72" s="68" customFormat="1" x14ac:dyDescent="0.25">
      <c r="B86" s="6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</row>
    <row r="87" spans="2:72" s="68" customFormat="1" x14ac:dyDescent="0.25">
      <c r="B87" s="6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</row>
    <row r="88" spans="2:72" s="68" customFormat="1" x14ac:dyDescent="0.25">
      <c r="B88" s="6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</row>
    <row r="89" spans="2:72" s="68" customFormat="1" x14ac:dyDescent="0.25">
      <c r="B89" s="6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</row>
    <row r="90" spans="2:72" s="68" customFormat="1" x14ac:dyDescent="0.25">
      <c r="B90" s="6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2:72" s="68" customFormat="1" x14ac:dyDescent="0.25">
      <c r="B91" s="6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</row>
    <row r="92" spans="2:72" s="68" customFormat="1" x14ac:dyDescent="0.25">
      <c r="B92" s="6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</row>
    <row r="93" spans="2:72" s="68" customFormat="1" x14ac:dyDescent="0.25">
      <c r="B93" s="6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</row>
    <row r="94" spans="2:72" s="68" customFormat="1" x14ac:dyDescent="0.25">
      <c r="B94" s="6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</row>
    <row r="95" spans="2:72" s="68" customFormat="1" x14ac:dyDescent="0.25">
      <c r="B95" s="6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</row>
    <row r="96" spans="2:72" s="68" customFormat="1" x14ac:dyDescent="0.25">
      <c r="B96" s="6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</row>
    <row r="97" spans="2:72" s="68" customFormat="1" x14ac:dyDescent="0.25">
      <c r="B97" s="6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</row>
    <row r="98" spans="2:72" s="68" customFormat="1" x14ac:dyDescent="0.25">
      <c r="B98" s="6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</row>
    <row r="99" spans="2:72" s="68" customFormat="1" x14ac:dyDescent="0.25">
      <c r="B99" s="6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</row>
    <row r="100" spans="2:72" s="68" customFormat="1" x14ac:dyDescent="0.25">
      <c r="B100" s="6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</row>
    <row r="101" spans="2:72" s="68" customFormat="1" x14ac:dyDescent="0.25">
      <c r="B101" s="69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</row>
    <row r="102" spans="2:72" s="68" customFormat="1" x14ac:dyDescent="0.25">
      <c r="B102" s="69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</row>
    <row r="103" spans="2:72" s="68" customFormat="1" x14ac:dyDescent="0.25">
      <c r="B103" s="69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</row>
    <row r="104" spans="2:72" s="68" customFormat="1" x14ac:dyDescent="0.25">
      <c r="B104" s="69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</row>
    <row r="105" spans="2:72" s="68" customFormat="1" x14ac:dyDescent="0.25">
      <c r="B105" s="6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</row>
    <row r="106" spans="2:72" s="68" customFormat="1" x14ac:dyDescent="0.25">
      <c r="B106" s="69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</row>
    <row r="107" spans="2:72" s="68" customFormat="1" x14ac:dyDescent="0.25">
      <c r="B107" s="69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</row>
    <row r="108" spans="2:72" s="68" customFormat="1" x14ac:dyDescent="0.25">
      <c r="B108" s="69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</row>
    <row r="109" spans="2:72" s="68" customFormat="1" x14ac:dyDescent="0.25">
      <c r="B109" s="69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</row>
    <row r="110" spans="2:72" s="68" customFormat="1" x14ac:dyDescent="0.25">
      <c r="B110" s="69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</row>
    <row r="111" spans="2:72" s="68" customFormat="1" x14ac:dyDescent="0.25">
      <c r="B111" s="69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</row>
    <row r="112" spans="2:72" s="68" customFormat="1" x14ac:dyDescent="0.25">
      <c r="B112" s="69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</row>
    <row r="113" spans="2:72" s="68" customFormat="1" x14ac:dyDescent="0.25">
      <c r="B113" s="69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</row>
    <row r="114" spans="2:72" s="68" customFormat="1" x14ac:dyDescent="0.25">
      <c r="B114" s="69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</row>
    <row r="115" spans="2:72" s="68" customFormat="1" x14ac:dyDescent="0.25">
      <c r="B115" s="69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</row>
    <row r="116" spans="2:72" s="68" customFormat="1" x14ac:dyDescent="0.25">
      <c r="B116" s="69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</row>
    <row r="117" spans="2:72" s="68" customFormat="1" x14ac:dyDescent="0.25">
      <c r="B117" s="69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</row>
    <row r="118" spans="2:72" s="68" customFormat="1" x14ac:dyDescent="0.25">
      <c r="B118" s="69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</row>
    <row r="119" spans="2:72" s="68" customFormat="1" x14ac:dyDescent="0.25">
      <c r="B119" s="69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</row>
    <row r="120" spans="2:72" s="68" customFormat="1" x14ac:dyDescent="0.25">
      <c r="B120" s="69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</row>
    <row r="121" spans="2:72" s="68" customFormat="1" x14ac:dyDescent="0.25">
      <c r="B121" s="69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</row>
    <row r="122" spans="2:72" s="68" customFormat="1" x14ac:dyDescent="0.25">
      <c r="B122" s="69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</row>
    <row r="123" spans="2:72" s="68" customFormat="1" x14ac:dyDescent="0.25">
      <c r="B123" s="6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</row>
    <row r="124" spans="2:72" s="68" customFormat="1" x14ac:dyDescent="0.25">
      <c r="B124" s="69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</row>
    <row r="125" spans="2:72" s="68" customFormat="1" x14ac:dyDescent="0.25">
      <c r="B125" s="6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</row>
    <row r="126" spans="2:72" s="68" customFormat="1" x14ac:dyDescent="0.25">
      <c r="B126" s="69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</row>
    <row r="127" spans="2:72" s="68" customFormat="1" x14ac:dyDescent="0.25">
      <c r="B127" s="69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</row>
    <row r="128" spans="2:72" s="68" customFormat="1" x14ac:dyDescent="0.25">
      <c r="B128" s="69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</row>
    <row r="129" spans="2:72" s="68" customFormat="1" x14ac:dyDescent="0.25">
      <c r="B129" s="69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</row>
    <row r="130" spans="2:72" s="68" customFormat="1" x14ac:dyDescent="0.25">
      <c r="B130" s="69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</row>
    <row r="131" spans="2:72" s="68" customFormat="1" x14ac:dyDescent="0.25">
      <c r="B131" s="69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</row>
    <row r="132" spans="2:72" s="68" customFormat="1" x14ac:dyDescent="0.25">
      <c r="B132" s="69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</row>
    <row r="133" spans="2:72" s="68" customFormat="1" x14ac:dyDescent="0.25">
      <c r="B133" s="6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</row>
    <row r="134" spans="2:72" s="68" customFormat="1" x14ac:dyDescent="0.25">
      <c r="B134" s="69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</row>
    <row r="135" spans="2:72" s="68" customFormat="1" x14ac:dyDescent="0.25">
      <c r="B135" s="69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</row>
    <row r="136" spans="2:72" s="68" customFormat="1" x14ac:dyDescent="0.25">
      <c r="B136" s="69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</row>
    <row r="137" spans="2:72" s="68" customFormat="1" x14ac:dyDescent="0.25">
      <c r="B137" s="6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</row>
    <row r="138" spans="2:72" s="68" customFormat="1" x14ac:dyDescent="0.25">
      <c r="B138" s="6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</row>
    <row r="139" spans="2:72" s="68" customFormat="1" x14ac:dyDescent="0.25">
      <c r="B139" s="6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</row>
    <row r="140" spans="2:72" s="68" customFormat="1" x14ac:dyDescent="0.25">
      <c r="B140" s="6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</row>
    <row r="141" spans="2:72" s="68" customFormat="1" x14ac:dyDescent="0.25">
      <c r="B141" s="6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</row>
    <row r="142" spans="2:72" s="68" customFormat="1" x14ac:dyDescent="0.25">
      <c r="B142" s="6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</row>
    <row r="143" spans="2:72" s="68" customFormat="1" x14ac:dyDescent="0.25">
      <c r="B143" s="6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</row>
    <row r="144" spans="2:72" s="68" customFormat="1" x14ac:dyDescent="0.25">
      <c r="B144" s="69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</row>
    <row r="145" spans="2:72" s="68" customFormat="1" x14ac:dyDescent="0.25">
      <c r="B145" s="6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</row>
    <row r="146" spans="2:72" s="68" customFormat="1" x14ac:dyDescent="0.25">
      <c r="B146" s="6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</row>
    <row r="147" spans="2:72" s="68" customFormat="1" x14ac:dyDescent="0.25">
      <c r="B147" s="6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</row>
    <row r="148" spans="2:72" s="68" customFormat="1" x14ac:dyDescent="0.25">
      <c r="B148" s="6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</row>
    <row r="149" spans="2:72" s="68" customFormat="1" x14ac:dyDescent="0.25">
      <c r="B149" s="6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</row>
    <row r="150" spans="2:72" s="68" customFormat="1" x14ac:dyDescent="0.25">
      <c r="B150" s="6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</row>
    <row r="151" spans="2:72" s="68" customFormat="1" x14ac:dyDescent="0.25">
      <c r="B151" s="6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</row>
    <row r="152" spans="2:72" s="68" customFormat="1" x14ac:dyDescent="0.25">
      <c r="B152" s="6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</row>
    <row r="153" spans="2:72" s="68" customFormat="1" x14ac:dyDescent="0.25">
      <c r="B153" s="6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</row>
    <row r="154" spans="2:72" s="68" customFormat="1" x14ac:dyDescent="0.25">
      <c r="B154" s="6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</row>
    <row r="155" spans="2:72" s="68" customFormat="1" x14ac:dyDescent="0.25">
      <c r="B155" s="6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</row>
    <row r="156" spans="2:72" s="68" customFormat="1" x14ac:dyDescent="0.25">
      <c r="B156" s="6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</row>
    <row r="157" spans="2:72" s="68" customFormat="1" x14ac:dyDescent="0.25">
      <c r="B157" s="6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</row>
    <row r="158" spans="2:72" s="68" customFormat="1" x14ac:dyDescent="0.25">
      <c r="B158" s="6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</row>
    <row r="159" spans="2:72" s="68" customFormat="1" x14ac:dyDescent="0.25">
      <c r="B159" s="6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</row>
    <row r="160" spans="2:72" s="68" customFormat="1" x14ac:dyDescent="0.25">
      <c r="B160" s="6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</row>
    <row r="161" spans="2:72" s="68" customFormat="1" x14ac:dyDescent="0.25">
      <c r="B161" s="6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</row>
    <row r="162" spans="2:72" s="68" customFormat="1" x14ac:dyDescent="0.25">
      <c r="B162" s="6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</row>
    <row r="163" spans="2:72" s="68" customFormat="1" x14ac:dyDescent="0.25">
      <c r="B163" s="6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</row>
    <row r="164" spans="2:72" s="68" customFormat="1" x14ac:dyDescent="0.25">
      <c r="B164" s="6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</row>
    <row r="165" spans="2:72" s="68" customFormat="1" x14ac:dyDescent="0.25">
      <c r="B165" s="6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</row>
    <row r="166" spans="2:72" s="68" customFormat="1" x14ac:dyDescent="0.25">
      <c r="B166" s="6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</row>
    <row r="167" spans="2:72" s="68" customFormat="1" x14ac:dyDescent="0.25">
      <c r="B167" s="6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</row>
    <row r="168" spans="2:72" s="68" customFormat="1" x14ac:dyDescent="0.25">
      <c r="B168" s="6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</row>
    <row r="169" spans="2:72" s="68" customFormat="1" x14ac:dyDescent="0.25">
      <c r="B169" s="6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</row>
    <row r="170" spans="2:72" s="68" customFormat="1" x14ac:dyDescent="0.25">
      <c r="B170" s="6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</row>
    <row r="171" spans="2:72" s="68" customFormat="1" x14ac:dyDescent="0.25">
      <c r="B171" s="6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</row>
    <row r="172" spans="2:72" s="68" customFormat="1" x14ac:dyDescent="0.25">
      <c r="B172" s="6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</row>
    <row r="173" spans="2:72" s="68" customFormat="1" x14ac:dyDescent="0.25">
      <c r="B173" s="6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</row>
    <row r="174" spans="2:72" s="68" customFormat="1" x14ac:dyDescent="0.25">
      <c r="B174" s="6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</row>
    <row r="175" spans="2:72" s="68" customFormat="1" x14ac:dyDescent="0.25">
      <c r="B175" s="6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</row>
    <row r="176" spans="2:72" s="68" customFormat="1" x14ac:dyDescent="0.25">
      <c r="B176" s="6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</row>
    <row r="177" spans="2:72" s="68" customFormat="1" x14ac:dyDescent="0.25">
      <c r="B177" s="6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</row>
    <row r="178" spans="2:72" s="68" customFormat="1" x14ac:dyDescent="0.25">
      <c r="B178" s="6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</row>
    <row r="179" spans="2:72" s="68" customFormat="1" x14ac:dyDescent="0.25">
      <c r="B179" s="6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</row>
    <row r="180" spans="2:72" s="68" customFormat="1" x14ac:dyDescent="0.25">
      <c r="B180" s="6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</row>
    <row r="181" spans="2:72" s="68" customFormat="1" x14ac:dyDescent="0.25">
      <c r="B181" s="6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</row>
    <row r="182" spans="2:72" s="68" customFormat="1" x14ac:dyDescent="0.25">
      <c r="B182" s="6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</row>
    <row r="183" spans="2:72" s="68" customFormat="1" x14ac:dyDescent="0.25">
      <c r="B183" s="6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</row>
    <row r="184" spans="2:72" s="68" customFormat="1" x14ac:dyDescent="0.25">
      <c r="B184" s="6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</row>
    <row r="185" spans="2:72" s="68" customFormat="1" x14ac:dyDescent="0.25">
      <c r="B185" s="6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</row>
    <row r="186" spans="2:72" s="68" customFormat="1" x14ac:dyDescent="0.25">
      <c r="B186" s="6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</row>
    <row r="187" spans="2:72" s="68" customFormat="1" x14ac:dyDescent="0.25">
      <c r="B187" s="6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</row>
    <row r="188" spans="2:72" s="68" customFormat="1" x14ac:dyDescent="0.25">
      <c r="B188" s="6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</row>
    <row r="189" spans="2:72" s="68" customFormat="1" x14ac:dyDescent="0.25">
      <c r="B189" s="6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</row>
    <row r="190" spans="2:72" s="68" customFormat="1" x14ac:dyDescent="0.25">
      <c r="B190" s="6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</row>
    <row r="191" spans="2:72" s="68" customFormat="1" x14ac:dyDescent="0.25">
      <c r="B191" s="6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</row>
    <row r="192" spans="2:72" s="68" customFormat="1" x14ac:dyDescent="0.25">
      <c r="B192" s="6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</row>
    <row r="193" spans="2:72" s="68" customFormat="1" x14ac:dyDescent="0.25">
      <c r="B193" s="6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</row>
    <row r="194" spans="2:72" s="68" customFormat="1" x14ac:dyDescent="0.25">
      <c r="B194" s="6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</row>
    <row r="195" spans="2:72" s="68" customFormat="1" x14ac:dyDescent="0.25">
      <c r="B195" s="6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</row>
    <row r="196" spans="2:72" s="68" customFormat="1" x14ac:dyDescent="0.25">
      <c r="B196" s="6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</row>
    <row r="197" spans="2:72" s="68" customFormat="1" x14ac:dyDescent="0.25">
      <c r="B197" s="6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</row>
    <row r="198" spans="2:72" s="68" customFormat="1" x14ac:dyDescent="0.25">
      <c r="B198" s="6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</row>
    <row r="199" spans="2:72" s="68" customFormat="1" x14ac:dyDescent="0.25">
      <c r="B199" s="6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</row>
    <row r="200" spans="2:72" s="68" customFormat="1" x14ac:dyDescent="0.25">
      <c r="B200" s="6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</row>
    <row r="201" spans="2:72" s="68" customFormat="1" x14ac:dyDescent="0.25">
      <c r="B201" s="6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</row>
    <row r="202" spans="2:72" s="68" customFormat="1" x14ac:dyDescent="0.25">
      <c r="B202" s="6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</row>
    <row r="203" spans="2:72" s="68" customFormat="1" x14ac:dyDescent="0.25">
      <c r="B203" s="6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</row>
    <row r="204" spans="2:72" s="68" customFormat="1" x14ac:dyDescent="0.25">
      <c r="B204" s="6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</row>
    <row r="205" spans="2:72" s="68" customFormat="1" x14ac:dyDescent="0.25">
      <c r="B205" s="6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</row>
    <row r="206" spans="2:72" s="68" customFormat="1" x14ac:dyDescent="0.25">
      <c r="B206" s="6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</row>
    <row r="207" spans="2:72" s="68" customFormat="1" x14ac:dyDescent="0.25">
      <c r="B207" s="6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</row>
    <row r="208" spans="2:72" s="68" customFormat="1" x14ac:dyDescent="0.25">
      <c r="B208" s="6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</row>
    <row r="209" spans="2:72" s="68" customFormat="1" x14ac:dyDescent="0.25">
      <c r="B209" s="6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</row>
    <row r="210" spans="2:72" s="68" customFormat="1" x14ac:dyDescent="0.25">
      <c r="B210" s="6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</row>
    <row r="211" spans="2:72" s="68" customFormat="1" x14ac:dyDescent="0.25">
      <c r="B211" s="6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</row>
    <row r="212" spans="2:72" s="68" customFormat="1" x14ac:dyDescent="0.25">
      <c r="B212" s="6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</row>
    <row r="213" spans="2:72" s="68" customFormat="1" x14ac:dyDescent="0.25">
      <c r="B213" s="6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</row>
    <row r="214" spans="2:72" s="68" customFormat="1" x14ac:dyDescent="0.25">
      <c r="B214" s="6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</row>
    <row r="215" spans="2:72" s="68" customFormat="1" x14ac:dyDescent="0.25">
      <c r="B215" s="6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</row>
    <row r="216" spans="2:72" s="68" customFormat="1" x14ac:dyDescent="0.25">
      <c r="B216" s="6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</row>
    <row r="217" spans="2:72" s="68" customFormat="1" x14ac:dyDescent="0.25">
      <c r="B217" s="6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</row>
    <row r="218" spans="2:72" s="68" customFormat="1" x14ac:dyDescent="0.25">
      <c r="B218" s="6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</row>
    <row r="219" spans="2:72" s="68" customFormat="1" x14ac:dyDescent="0.25">
      <c r="B219" s="6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</row>
    <row r="220" spans="2:72" s="68" customFormat="1" x14ac:dyDescent="0.25">
      <c r="B220" s="6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</row>
    <row r="221" spans="2:72" s="68" customFormat="1" x14ac:dyDescent="0.25">
      <c r="B221" s="6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</row>
    <row r="222" spans="2:72" s="68" customFormat="1" x14ac:dyDescent="0.25">
      <c r="B222" s="6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</row>
    <row r="223" spans="2:72" s="68" customFormat="1" x14ac:dyDescent="0.25">
      <c r="B223" s="6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</row>
    <row r="224" spans="2:72" s="68" customFormat="1" x14ac:dyDescent="0.25">
      <c r="B224" s="6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</row>
    <row r="225" spans="2:72" s="68" customFormat="1" x14ac:dyDescent="0.25">
      <c r="B225" s="6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</row>
    <row r="226" spans="2:72" s="68" customFormat="1" x14ac:dyDescent="0.25">
      <c r="B226" s="6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</row>
    <row r="227" spans="2:72" s="68" customFormat="1" x14ac:dyDescent="0.25">
      <c r="B227" s="6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</row>
    <row r="228" spans="2:72" s="68" customFormat="1" x14ac:dyDescent="0.25">
      <c r="B228" s="6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</row>
    <row r="229" spans="2:72" s="68" customFormat="1" x14ac:dyDescent="0.25">
      <c r="B229" s="6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</row>
    <row r="230" spans="2:72" s="68" customFormat="1" x14ac:dyDescent="0.25">
      <c r="B230" s="6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</row>
    <row r="231" spans="2:72" s="68" customFormat="1" x14ac:dyDescent="0.25">
      <c r="B231" s="6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</row>
    <row r="232" spans="2:72" s="68" customFormat="1" x14ac:dyDescent="0.25">
      <c r="B232" s="6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</row>
    <row r="233" spans="2:72" s="68" customFormat="1" x14ac:dyDescent="0.25">
      <c r="B233" s="6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</row>
    <row r="234" spans="2:72" s="68" customFormat="1" x14ac:dyDescent="0.25">
      <c r="B234" s="6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</row>
    <row r="235" spans="2:72" s="68" customFormat="1" x14ac:dyDescent="0.25">
      <c r="B235" s="6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</row>
    <row r="236" spans="2:72" s="68" customFormat="1" x14ac:dyDescent="0.25">
      <c r="B236" s="6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</row>
    <row r="237" spans="2:72" s="68" customFormat="1" x14ac:dyDescent="0.25">
      <c r="B237" s="6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</row>
    <row r="238" spans="2:72" s="68" customFormat="1" x14ac:dyDescent="0.25">
      <c r="B238" s="6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</row>
    <row r="239" spans="2:72" s="68" customFormat="1" x14ac:dyDescent="0.25">
      <c r="B239" s="6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</row>
    <row r="240" spans="2:72" s="68" customFormat="1" x14ac:dyDescent="0.25">
      <c r="B240" s="6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</row>
    <row r="241" spans="2:72" s="68" customFormat="1" x14ac:dyDescent="0.25">
      <c r="B241" s="6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</row>
    <row r="242" spans="2:72" s="68" customFormat="1" x14ac:dyDescent="0.25">
      <c r="B242" s="6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</row>
    <row r="243" spans="2:72" s="68" customFormat="1" x14ac:dyDescent="0.25">
      <c r="B243" s="6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</row>
    <row r="244" spans="2:72" s="68" customFormat="1" x14ac:dyDescent="0.25">
      <c r="B244" s="6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</row>
    <row r="245" spans="2:72" s="68" customFormat="1" x14ac:dyDescent="0.25">
      <c r="B245" s="6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</row>
    <row r="246" spans="2:72" s="68" customFormat="1" x14ac:dyDescent="0.25">
      <c r="B246" s="6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</row>
    <row r="247" spans="2:72" x14ac:dyDescent="0.25">
      <c r="B247" s="69"/>
    </row>
    <row r="248" spans="2:72" x14ac:dyDescent="0.25">
      <c r="B248" s="69"/>
    </row>
    <row r="249" spans="2:72" x14ac:dyDescent="0.25">
      <c r="B249" s="69"/>
    </row>
    <row r="250" spans="2:72" x14ac:dyDescent="0.25">
      <c r="B250" s="69"/>
    </row>
    <row r="251" spans="2:72" x14ac:dyDescent="0.25">
      <c r="B251" s="69"/>
    </row>
    <row r="252" spans="2:72" x14ac:dyDescent="0.25">
      <c r="B252" s="69"/>
    </row>
    <row r="253" spans="2:72" x14ac:dyDescent="0.25">
      <c r="B253" s="69"/>
    </row>
    <row r="254" spans="2:72" x14ac:dyDescent="0.25">
      <c r="B254" s="69"/>
    </row>
  </sheetData>
  <mergeCells count="101">
    <mergeCell ref="CW5:DC5"/>
    <mergeCell ref="CW6:CW8"/>
    <mergeCell ref="CX6:DC6"/>
    <mergeCell ref="CX7:CY7"/>
    <mergeCell ref="CZ7:DA7"/>
    <mergeCell ref="DB7:DC7"/>
    <mergeCell ref="DD5:DJ5"/>
    <mergeCell ref="DD6:DD8"/>
    <mergeCell ref="DE6:DJ6"/>
    <mergeCell ref="DE7:DF7"/>
    <mergeCell ref="DG7:DH7"/>
    <mergeCell ref="DI7:DJ7"/>
    <mergeCell ref="CI5:CO5"/>
    <mergeCell ref="CI6:CI8"/>
    <mergeCell ref="CJ6:CO6"/>
    <mergeCell ref="CJ7:CK7"/>
    <mergeCell ref="CL7:CM7"/>
    <mergeCell ref="CN7:CO7"/>
    <mergeCell ref="CP5:CV5"/>
    <mergeCell ref="CP6:CP8"/>
    <mergeCell ref="CQ6:CV6"/>
    <mergeCell ref="CQ7:CR7"/>
    <mergeCell ref="CS7:CT7"/>
    <mergeCell ref="CU7:CV7"/>
    <mergeCell ref="A5:A8"/>
    <mergeCell ref="B5:B8"/>
    <mergeCell ref="BN5:BT5"/>
    <mergeCell ref="BN6:BN8"/>
    <mergeCell ref="BO6:BT6"/>
    <mergeCell ref="BO7:BP7"/>
    <mergeCell ref="BQ7:BR7"/>
    <mergeCell ref="BS7:BT7"/>
    <mergeCell ref="BA7:BB7"/>
    <mergeCell ref="AZ6:AZ8"/>
    <mergeCell ref="D6:I6"/>
    <mergeCell ref="AT7:AU7"/>
    <mergeCell ref="AS6:AS8"/>
    <mergeCell ref="AT6:AY6"/>
    <mergeCell ref="AM7:AN7"/>
    <mergeCell ref="AQ7:AR7"/>
    <mergeCell ref="AA7:AB7"/>
    <mergeCell ref="AC7:AD7"/>
    <mergeCell ref="AL6:AL8"/>
    <mergeCell ref="AM6:AR6"/>
    <mergeCell ref="AS5:AY5"/>
    <mergeCell ref="AV7:AW7"/>
    <mergeCell ref="AX7:AY7"/>
    <mergeCell ref="AE5:AK5"/>
    <mergeCell ref="AH7:AI7"/>
    <mergeCell ref="AJ7:AK7"/>
    <mergeCell ref="AL5:AR5"/>
    <mergeCell ref="AF7:AG7"/>
    <mergeCell ref="AE6:AE8"/>
    <mergeCell ref="AF6:AK6"/>
    <mergeCell ref="AO7:AP7"/>
    <mergeCell ref="BG5:BM5"/>
    <mergeCell ref="BJ7:BK7"/>
    <mergeCell ref="BL7:BM7"/>
    <mergeCell ref="AZ5:BF5"/>
    <mergeCell ref="BC7:BD7"/>
    <mergeCell ref="BE7:BF7"/>
    <mergeCell ref="BA6:BF6"/>
    <mergeCell ref="BH7:BI7"/>
    <mergeCell ref="BG6:BG8"/>
    <mergeCell ref="BH6:BM6"/>
    <mergeCell ref="J5:P5"/>
    <mergeCell ref="X5:AD5"/>
    <mergeCell ref="A26:B26"/>
    <mergeCell ref="A21:B21"/>
    <mergeCell ref="A25:B25"/>
    <mergeCell ref="M7:N7"/>
    <mergeCell ref="Q5:W5"/>
    <mergeCell ref="Q6:Q8"/>
    <mergeCell ref="R6:W6"/>
    <mergeCell ref="R7:S7"/>
    <mergeCell ref="K7:L7"/>
    <mergeCell ref="J6:J8"/>
    <mergeCell ref="K6:P6"/>
    <mergeCell ref="T7:U7"/>
    <mergeCell ref="V7:W7"/>
    <mergeCell ref="O7:P7"/>
    <mergeCell ref="Y7:Z7"/>
    <mergeCell ref="X6:X8"/>
    <mergeCell ref="Y6:AD6"/>
    <mergeCell ref="C5:I5"/>
    <mergeCell ref="F7:G7"/>
    <mergeCell ref="H7:I7"/>
    <mergeCell ref="D7:E7"/>
    <mergeCell ref="C6:C8"/>
    <mergeCell ref="CB5:CH5"/>
    <mergeCell ref="CB6:CB8"/>
    <mergeCell ref="CC6:CH6"/>
    <mergeCell ref="CC7:CD7"/>
    <mergeCell ref="CE7:CF7"/>
    <mergeCell ref="CG7:CH7"/>
    <mergeCell ref="BU5:CA5"/>
    <mergeCell ref="BU6:BU8"/>
    <mergeCell ref="BV6:CA6"/>
    <mergeCell ref="BV7:BW7"/>
    <mergeCell ref="BX7:BY7"/>
    <mergeCell ref="BZ7:CA7"/>
  </mergeCells>
  <phoneticPr fontId="0" type="noConversion"/>
  <pageMargins left="0.33" right="0.2" top="1.19" bottom="0.49" header="0.54" footer="0.19"/>
  <pageSetup paperSize="9" scale="27" orientation="landscape" horizontalDpi="300" verticalDpi="300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Sek_1</vt:lpstr>
      <vt:lpstr>Sek_2</vt:lpstr>
      <vt:lpstr>Tabelle1</vt:lpstr>
      <vt:lpstr>Klassentypen_bis_16_17</vt:lpstr>
      <vt:lpstr>Entw. m_w</vt:lpstr>
      <vt:lpstr>Entw Ausl</vt:lpstr>
      <vt:lpstr>Klassentypen_bis_16_17!Drucktitel</vt:lpstr>
      <vt:lpstr>Sek_1!Drucktitel</vt:lpstr>
      <vt:lpstr>Sek_2!Drucktitel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Schulamt</dc:creator>
  <cp:lastModifiedBy>Thomas Werner</cp:lastModifiedBy>
  <cp:lastPrinted>2021-11-18T10:13:13Z</cp:lastPrinted>
  <dcterms:created xsi:type="dcterms:W3CDTF">2010-09-27T09:52:05Z</dcterms:created>
  <dcterms:modified xsi:type="dcterms:W3CDTF">2022-09-19T12:30:23Z</dcterms:modified>
</cp:coreProperties>
</file>